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INTERNET\_DRUPAL\DocumentsPubliésDRUPAL\PM\"/>
    </mc:Choice>
  </mc:AlternateContent>
  <xr:revisionPtr revIDLastSave="0" documentId="8_{3D617F69-BF71-406F-9DE8-231FDF9A0378}" xr6:coauthVersionLast="47" xr6:coauthVersionMax="47" xr10:uidLastSave="{00000000-0000-0000-0000-000000000000}"/>
  <workbookProtection workbookAlgorithmName="SHA-512" workbookHashValue="MuwjszBd0gImQDgve+WvSWMYFJbzTkbrKTTzoztmoW8pEHSsT4HvIbHi0/SEpB7HxapbCqyPprygetBfm08NLw==" workbookSaltValue="cuqEXsvp7f7+/CmO/oOanw==" workbookSpinCount="100000" lockStructure="1"/>
  <bookViews>
    <workbookView xWindow="-120" yWindow="-120" windowWidth="29040" windowHeight="17520" xr2:uid="{00000000-000D-0000-FFFF-FFFF00000000}"/>
  </bookViews>
  <sheets>
    <sheet name="Calculette PM" sheetId="1" r:id="rId1"/>
    <sheet name="Paramètres" sheetId="4" state="hidden" r:id="rId2"/>
    <sheet name="Calcul impôt" sheetId="5" state="hidden" r:id="rId3"/>
    <sheet name="Extrait Loi" sheetId="6" state="hidden" r:id="rId4"/>
    <sheet name="Protocole de test" sheetId="11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8" i="5" l="1"/>
  <c r="D137" i="5"/>
  <c r="D136" i="5"/>
  <c r="D134" i="5"/>
  <c r="D133" i="5"/>
  <c r="D132" i="5"/>
  <c r="D130" i="5"/>
  <c r="D129" i="5"/>
  <c r="D128" i="5"/>
  <c r="D126" i="5"/>
  <c r="D125" i="5"/>
  <c r="D124" i="5"/>
  <c r="D122" i="5"/>
  <c r="D121" i="5"/>
  <c r="D120" i="5"/>
  <c r="D118" i="5"/>
  <c r="D117" i="5"/>
  <c r="D116" i="5"/>
  <c r="D50" i="5" l="1"/>
  <c r="C23" i="1" l="1"/>
  <c r="C49" i="1"/>
  <c r="B49" i="1"/>
  <c r="C34" i="1"/>
  <c r="B34" i="1"/>
  <c r="E8" i="5"/>
  <c r="S8" i="5" s="1"/>
  <c r="S62" i="5" s="1"/>
  <c r="E7" i="5"/>
  <c r="S7" i="5" s="1"/>
  <c r="S6" i="5"/>
  <c r="S5" i="5"/>
  <c r="D66" i="5"/>
  <c r="D65" i="5"/>
  <c r="D57" i="5"/>
  <c r="D56" i="5"/>
  <c r="D48" i="5"/>
  <c r="D47" i="5"/>
  <c r="D46" i="5"/>
  <c r="D36" i="5"/>
  <c r="D35" i="5"/>
  <c r="D34" i="5"/>
  <c r="D24" i="5"/>
  <c r="D23" i="5"/>
  <c r="D22" i="5"/>
  <c r="D114" i="5"/>
  <c r="D113" i="5"/>
  <c r="D112" i="5"/>
  <c r="D110" i="5"/>
  <c r="D109" i="5"/>
  <c r="D108" i="5"/>
  <c r="D106" i="5"/>
  <c r="D105" i="5"/>
  <c r="D104" i="5"/>
  <c r="D102" i="5"/>
  <c r="D101" i="5"/>
  <c r="D100" i="5"/>
  <c r="D98" i="5"/>
  <c r="D97" i="5"/>
  <c r="D96" i="5"/>
  <c r="D94" i="5"/>
  <c r="D93" i="5"/>
  <c r="D92" i="5"/>
  <c r="D63" i="5"/>
  <c r="D62" i="5"/>
  <c r="D60" i="5"/>
  <c r="D59" i="5"/>
  <c r="D54" i="5"/>
  <c r="D53" i="5"/>
  <c r="D51" i="5"/>
  <c r="D44" i="5"/>
  <c r="D43" i="5"/>
  <c r="D42" i="5"/>
  <c r="D40" i="5"/>
  <c r="D39" i="5"/>
  <c r="D38" i="5"/>
  <c r="D32" i="5"/>
  <c r="D31" i="5"/>
  <c r="D30" i="5"/>
  <c r="D28" i="5"/>
  <c r="D27" i="5"/>
  <c r="D26" i="5"/>
  <c r="M7" i="5"/>
  <c r="M6" i="5"/>
  <c r="M5" i="5"/>
  <c r="E6" i="5"/>
  <c r="E5" i="5"/>
  <c r="D20" i="5"/>
  <c r="D19" i="5"/>
  <c r="D18" i="5"/>
  <c r="D16" i="5"/>
  <c r="D15" i="5"/>
  <c r="D14" i="5"/>
  <c r="S63" i="5" l="1"/>
  <c r="S61" i="5"/>
  <c r="G135" i="5"/>
  <c r="H135" i="5" s="1"/>
  <c r="G128" i="5"/>
  <c r="H128" i="5" s="1"/>
  <c r="G134" i="5"/>
  <c r="H134" i="5" s="1"/>
  <c r="M63" i="5"/>
  <c r="G133" i="5"/>
  <c r="H133" i="5" s="1"/>
  <c r="M61" i="5"/>
  <c r="G132" i="5"/>
  <c r="H132" i="5" s="1"/>
  <c r="G138" i="5"/>
  <c r="H138" i="5" s="1"/>
  <c r="G131" i="5"/>
  <c r="H131" i="5" s="1"/>
  <c r="G137" i="5"/>
  <c r="H137" i="5" s="1"/>
  <c r="G130" i="5"/>
  <c r="H130" i="5" s="1"/>
  <c r="G136" i="5"/>
  <c r="H136" i="5" s="1"/>
  <c r="G127" i="5"/>
  <c r="H127" i="5" s="1"/>
  <c r="G129" i="5"/>
  <c r="H129" i="5" s="1"/>
  <c r="M62" i="5"/>
  <c r="S59" i="5"/>
  <c r="S60" i="5"/>
  <c r="S58" i="5"/>
  <c r="G123" i="5"/>
  <c r="H123" i="5" s="1"/>
  <c r="M60" i="5"/>
  <c r="G115" i="5"/>
  <c r="H115" i="5" s="1"/>
  <c r="M59" i="5"/>
  <c r="G121" i="5"/>
  <c r="H121" i="5" s="1"/>
  <c r="M58" i="5"/>
  <c r="G126" i="5"/>
  <c r="H126" i="5" s="1"/>
  <c r="G125" i="5"/>
  <c r="H125" i="5" s="1"/>
  <c r="G124" i="5"/>
  <c r="H124" i="5" s="1"/>
  <c r="G116" i="5"/>
  <c r="H116" i="5" s="1"/>
  <c r="G122" i="5"/>
  <c r="H122" i="5" s="1"/>
  <c r="G120" i="5"/>
  <c r="H120" i="5" s="1"/>
  <c r="G119" i="5"/>
  <c r="H119" i="5" s="1"/>
  <c r="G118" i="5"/>
  <c r="H118" i="5" s="1"/>
  <c r="G117" i="5"/>
  <c r="H117" i="5" s="1"/>
  <c r="S56" i="5"/>
  <c r="S50" i="5"/>
  <c r="S44" i="5"/>
  <c r="S38" i="5"/>
  <c r="S35" i="5"/>
  <c r="S29" i="5"/>
  <c r="S26" i="5"/>
  <c r="S23" i="5"/>
  <c r="S20" i="5"/>
  <c r="S53" i="5"/>
  <c r="S17" i="5"/>
  <c r="S47" i="5"/>
  <c r="S41" i="5"/>
  <c r="S32" i="5"/>
  <c r="S14" i="5"/>
  <c r="S18" i="5"/>
  <c r="S30" i="5"/>
  <c r="S42" i="5"/>
  <c r="S54" i="5"/>
  <c r="S19" i="5"/>
  <c r="S31" i="5"/>
  <c r="S43" i="5"/>
  <c r="S55" i="5"/>
  <c r="S21" i="5"/>
  <c r="S33" i="5"/>
  <c r="S45" i="5"/>
  <c r="S57" i="5"/>
  <c r="S22" i="5"/>
  <c r="S34" i="5"/>
  <c r="S46" i="5"/>
  <c r="S13" i="5"/>
  <c r="S24" i="5"/>
  <c r="S36" i="5"/>
  <c r="S48" i="5"/>
  <c r="S25" i="5"/>
  <c r="S37" i="5"/>
  <c r="S49" i="5"/>
  <c r="S15" i="5"/>
  <c r="S27" i="5"/>
  <c r="S39" i="5"/>
  <c r="S51" i="5"/>
  <c r="S16" i="5"/>
  <c r="S28" i="5"/>
  <c r="S40" i="5"/>
  <c r="S52" i="5"/>
  <c r="G66" i="5"/>
  <c r="H66" i="5" s="1"/>
  <c r="G57" i="5"/>
  <c r="H57" i="5" s="1"/>
  <c r="G64" i="5"/>
  <c r="H64" i="5" s="1"/>
  <c r="G65" i="5"/>
  <c r="H65" i="5" s="1"/>
  <c r="G56" i="5"/>
  <c r="H56" i="5" s="1"/>
  <c r="G55" i="5"/>
  <c r="H55" i="5" s="1"/>
  <c r="G45" i="5"/>
  <c r="H45" i="5" s="1"/>
  <c r="G21" i="5"/>
  <c r="H21" i="5" s="1"/>
  <c r="G46" i="5"/>
  <c r="H46" i="5" s="1"/>
  <c r="G47" i="5"/>
  <c r="H47" i="5" s="1"/>
  <c r="G48" i="5"/>
  <c r="H48" i="5" s="1"/>
  <c r="G24" i="5"/>
  <c r="H24" i="5" s="1"/>
  <c r="G33" i="5"/>
  <c r="H33" i="5" s="1"/>
  <c r="G34" i="5"/>
  <c r="H34" i="5" s="1"/>
  <c r="G35" i="5"/>
  <c r="H35" i="5" s="1"/>
  <c r="G36" i="5"/>
  <c r="H36" i="5" s="1"/>
  <c r="G22" i="5"/>
  <c r="H22" i="5" s="1"/>
  <c r="G23" i="5"/>
  <c r="H23" i="5" s="1"/>
  <c r="G114" i="5"/>
  <c r="H114" i="5" s="1"/>
  <c r="G80" i="5"/>
  <c r="H80" i="5" s="1"/>
  <c r="G59" i="5"/>
  <c r="H59" i="5" s="1"/>
  <c r="G82" i="5"/>
  <c r="H82" i="5" s="1"/>
  <c r="G72" i="5"/>
  <c r="H72" i="5" s="1"/>
  <c r="G79" i="5"/>
  <c r="H79" i="5" s="1"/>
  <c r="G106" i="5"/>
  <c r="H106" i="5" s="1"/>
  <c r="G107" i="5"/>
  <c r="H107" i="5" s="1"/>
  <c r="G61" i="5"/>
  <c r="H61" i="5" s="1"/>
  <c r="G83" i="5"/>
  <c r="H83" i="5" s="1"/>
  <c r="G60" i="5"/>
  <c r="H60" i="5" s="1"/>
  <c r="G84" i="5"/>
  <c r="H84" i="5" s="1"/>
  <c r="G113" i="5"/>
  <c r="H113" i="5" s="1"/>
  <c r="G81" i="5"/>
  <c r="H81" i="5" s="1"/>
  <c r="G52" i="5"/>
  <c r="H52" i="5" s="1"/>
  <c r="G69" i="5"/>
  <c r="H69" i="5" s="1"/>
  <c r="G92" i="5"/>
  <c r="H92" i="5" s="1"/>
  <c r="G50" i="5"/>
  <c r="H50" i="5" s="1"/>
  <c r="G112" i="5"/>
  <c r="H112" i="5" s="1"/>
  <c r="G51" i="5"/>
  <c r="H51" i="5" s="1"/>
  <c r="G91" i="5"/>
  <c r="H91" i="5" s="1"/>
  <c r="G39" i="5"/>
  <c r="H39" i="5" s="1"/>
  <c r="G40" i="5"/>
  <c r="H40" i="5" s="1"/>
  <c r="G70" i="5"/>
  <c r="H70" i="5" s="1"/>
  <c r="G105" i="5"/>
  <c r="H105" i="5" s="1"/>
  <c r="G44" i="5"/>
  <c r="H44" i="5" s="1"/>
  <c r="G38" i="5"/>
  <c r="H38" i="5" s="1"/>
  <c r="G99" i="5"/>
  <c r="H99" i="5" s="1"/>
  <c r="G68" i="5"/>
  <c r="H68" i="5" s="1"/>
  <c r="G26" i="5"/>
  <c r="H26" i="5" s="1"/>
  <c r="G41" i="5"/>
  <c r="H41" i="5" s="1"/>
  <c r="G71" i="5"/>
  <c r="H71" i="5" s="1"/>
  <c r="G93" i="5"/>
  <c r="H93" i="5" s="1"/>
  <c r="G28" i="5"/>
  <c r="H28" i="5" s="1"/>
  <c r="G53" i="5"/>
  <c r="H53" i="5" s="1"/>
  <c r="G62" i="5"/>
  <c r="H62" i="5" s="1"/>
  <c r="G73" i="5"/>
  <c r="H73" i="5" s="1"/>
  <c r="G85" i="5"/>
  <c r="H85" i="5" s="1"/>
  <c r="G94" i="5"/>
  <c r="H94" i="5" s="1"/>
  <c r="G100" i="5"/>
  <c r="H100" i="5" s="1"/>
  <c r="G108" i="5"/>
  <c r="H108" i="5" s="1"/>
  <c r="G29" i="5"/>
  <c r="H29" i="5" s="1"/>
  <c r="G42" i="5"/>
  <c r="H42" i="5" s="1"/>
  <c r="G74" i="5"/>
  <c r="H74" i="5" s="1"/>
  <c r="G86" i="5"/>
  <c r="H86" i="5" s="1"/>
  <c r="G95" i="5"/>
  <c r="H95" i="5" s="1"/>
  <c r="G101" i="5"/>
  <c r="H101" i="5" s="1"/>
  <c r="G54" i="5"/>
  <c r="H54" i="5" s="1"/>
  <c r="G75" i="5"/>
  <c r="H75" i="5" s="1"/>
  <c r="G87" i="5"/>
  <c r="H87" i="5" s="1"/>
  <c r="G96" i="5"/>
  <c r="H96" i="5" s="1"/>
  <c r="G102" i="5"/>
  <c r="H102" i="5" s="1"/>
  <c r="G109" i="5"/>
  <c r="H109" i="5" s="1"/>
  <c r="G63" i="5"/>
  <c r="H63" i="5" s="1"/>
  <c r="G76" i="5"/>
  <c r="H76" i="5" s="1"/>
  <c r="G88" i="5"/>
  <c r="H88" i="5" s="1"/>
  <c r="G97" i="5"/>
  <c r="H97" i="5" s="1"/>
  <c r="G103" i="5"/>
  <c r="H103" i="5" s="1"/>
  <c r="G58" i="5"/>
  <c r="H58" i="5" s="1"/>
  <c r="G77" i="5"/>
  <c r="H77" i="5" s="1"/>
  <c r="G89" i="5"/>
  <c r="H89" i="5" s="1"/>
  <c r="G98" i="5"/>
  <c r="H98" i="5" s="1"/>
  <c r="G110" i="5"/>
  <c r="H110" i="5" s="1"/>
  <c r="G49" i="5"/>
  <c r="H49" i="5" s="1"/>
  <c r="G67" i="5"/>
  <c r="H67" i="5" s="1"/>
  <c r="G78" i="5"/>
  <c r="H78" i="5" s="1"/>
  <c r="G90" i="5"/>
  <c r="H90" i="5" s="1"/>
  <c r="G104" i="5"/>
  <c r="H104" i="5" s="1"/>
  <c r="G111" i="5"/>
  <c r="H111" i="5" s="1"/>
  <c r="G43" i="5"/>
  <c r="H43" i="5" s="1"/>
  <c r="G37" i="5"/>
  <c r="H37" i="5" s="1"/>
  <c r="G32" i="5"/>
  <c r="H32" i="5" s="1"/>
  <c r="G27" i="5"/>
  <c r="H27" i="5" s="1"/>
  <c r="G30" i="5"/>
  <c r="H30" i="5" s="1"/>
  <c r="G31" i="5"/>
  <c r="H31" i="5" s="1"/>
  <c r="G25" i="5"/>
  <c r="H25" i="5" s="1"/>
  <c r="M16" i="5"/>
  <c r="M30" i="5"/>
  <c r="M26" i="5"/>
  <c r="M37" i="5"/>
  <c r="M36" i="5"/>
  <c r="M15" i="5"/>
  <c r="M47" i="5"/>
  <c r="M14" i="5"/>
  <c r="M46" i="5"/>
  <c r="M34" i="5"/>
  <c r="M22" i="5"/>
  <c r="M57" i="5"/>
  <c r="M45" i="5"/>
  <c r="M33" i="5"/>
  <c r="M21" i="5"/>
  <c r="M56" i="5"/>
  <c r="M44" i="5"/>
  <c r="M32" i="5"/>
  <c r="M20" i="5"/>
  <c r="M51" i="5"/>
  <c r="M39" i="5"/>
  <c r="M50" i="5"/>
  <c r="M24" i="5"/>
  <c r="M23" i="5"/>
  <c r="M31" i="5"/>
  <c r="M42" i="5"/>
  <c r="M18" i="5"/>
  <c r="M25" i="5"/>
  <c r="M43" i="5"/>
  <c r="M53" i="5"/>
  <c r="M41" i="5"/>
  <c r="M29" i="5"/>
  <c r="M17" i="5"/>
  <c r="M27" i="5"/>
  <c r="M38" i="5"/>
  <c r="M49" i="5"/>
  <c r="M48" i="5"/>
  <c r="M35" i="5"/>
  <c r="M55" i="5"/>
  <c r="M19" i="5"/>
  <c r="M54" i="5"/>
  <c r="M52" i="5"/>
  <c r="M40" i="5"/>
  <c r="M28" i="5"/>
  <c r="M13" i="5"/>
  <c r="G20" i="5"/>
  <c r="H20" i="5" s="1"/>
  <c r="G17" i="5"/>
  <c r="H17" i="5" s="1"/>
  <c r="G18" i="5"/>
  <c r="H18" i="5" s="1"/>
  <c r="G19" i="5"/>
  <c r="H19" i="5" s="1"/>
  <c r="G13" i="5"/>
  <c r="H13" i="5" s="1"/>
  <c r="G16" i="5"/>
  <c r="H16" i="5" s="1"/>
  <c r="G14" i="5"/>
  <c r="H14" i="5" s="1"/>
  <c r="G15" i="5"/>
  <c r="H15" i="5" s="1"/>
  <c r="E10" i="5" l="1"/>
  <c r="S10" i="5"/>
  <c r="M8" i="5"/>
  <c r="M9" i="5" s="1"/>
  <c r="B47" i="1" s="1"/>
  <c r="S9" i="5" l="1"/>
  <c r="D32" i="1"/>
  <c r="E9" i="5"/>
  <c r="B32" i="1"/>
  <c r="B45" i="1" l="1"/>
  <c r="B30" i="1"/>
  <c r="C45" i="1" l="1"/>
  <c r="B51" i="1"/>
  <c r="C30" i="1"/>
  <c r="D30" i="1" l="1"/>
  <c r="D36" i="1" s="1"/>
  <c r="D38" i="1" s="1"/>
  <c r="D40" i="1" s="1"/>
  <c r="D42" i="1" s="1"/>
  <c r="D59" i="1" s="1"/>
  <c r="C47" i="1" l="1"/>
  <c r="C51" i="1" s="1"/>
  <c r="C53" i="1" s="1"/>
  <c r="B53" i="1"/>
  <c r="C55" i="1" l="1"/>
  <c r="B55" i="1"/>
  <c r="B36" i="1" l="1"/>
  <c r="B38" i="1" s="1"/>
  <c r="B40" i="1" s="1"/>
  <c r="C32" i="1" l="1"/>
  <c r="C36" i="1" s="1"/>
  <c r="C38" i="1" s="1"/>
  <c r="C40" i="1" s="1"/>
  <c r="C42" i="1" l="1"/>
  <c r="C57" i="1" s="1"/>
  <c r="B42" i="1"/>
  <c r="B57" i="1" l="1"/>
  <c r="B59" i="1" s="1"/>
  <c r="C59" i="1" l="1"/>
  <c r="B61" i="1" s="1"/>
  <c r="B63" i="1" s="1"/>
</calcChain>
</file>

<file path=xl/sharedStrings.xml><?xml version="1.0" encoding="utf-8"?>
<sst xmlns="http://schemas.openxmlformats.org/spreadsheetml/2006/main" count="362" uniqueCount="62">
  <si>
    <t>Bénéfice déterminant pour le taux</t>
  </si>
  <si>
    <t>Bénéfice imposable</t>
  </si>
  <si>
    <t>Capital imposable</t>
  </si>
  <si>
    <t>Holding</t>
  </si>
  <si>
    <t>Impôt sur le bénéfice</t>
  </si>
  <si>
    <t>Impôt sur le capital</t>
  </si>
  <si>
    <t>Totaux</t>
  </si>
  <si>
    <t>Imputation</t>
  </si>
  <si>
    <t>Bouclement en</t>
  </si>
  <si>
    <t>Allégement sur bénéfice</t>
  </si>
  <si>
    <t>Réduction pour particip.</t>
  </si>
  <si>
    <t>Données</t>
  </si>
  <si>
    <t>Société de capitaux et coopérative</t>
  </si>
  <si>
    <t>Association et fondation</t>
  </si>
  <si>
    <t>Barème applicable</t>
  </si>
  <si>
    <t>Réduction pour participation en % (ICD)</t>
  </si>
  <si>
    <t>Réduction pour participation en % (IFD)</t>
  </si>
  <si>
    <t>Allégement sur bénéfice en % (ICD)</t>
  </si>
  <si>
    <t>Allégement sur bénéfice en % (IFD)</t>
  </si>
  <si>
    <t>Allégement sur capital en % (ICD)</t>
  </si>
  <si>
    <t>Impôt cantonal</t>
  </si>
  <si>
    <t>Impôt fédéral</t>
  </si>
  <si>
    <t>Impôt communal</t>
  </si>
  <si>
    <t>Calculs</t>
  </si>
  <si>
    <t>Allégement sur capital</t>
  </si>
  <si>
    <t>Impôt net sur bénéfice</t>
  </si>
  <si>
    <t>Impôt net sur capital</t>
  </si>
  <si>
    <t>Total impôts cantonal et communal</t>
  </si>
  <si>
    <t>Total tous impôts</t>
  </si>
  <si>
    <t>Taux d'imposition du capital</t>
  </si>
  <si>
    <t>Calcul de l'impôt direct des
personnes morales</t>
  </si>
  <si>
    <t>Taux</t>
  </si>
  <si>
    <t>Coefficient cantonal et communal</t>
  </si>
  <si>
    <t>Période fiscale</t>
  </si>
  <si>
    <t>Type de société</t>
  </si>
  <si>
    <t>De</t>
  </si>
  <si>
    <t>à</t>
  </si>
  <si>
    <t>Montant</t>
  </si>
  <si>
    <t>BN taux</t>
  </si>
  <si>
    <t>BN imposable</t>
  </si>
  <si>
    <t>Taux marginal</t>
  </si>
  <si>
    <t>Impôt sur BN</t>
  </si>
  <si>
    <t>Montant catégorie</t>
  </si>
  <si>
    <t>Coefficients ICD</t>
  </si>
  <si>
    <t>Communal</t>
  </si>
  <si>
    <t>Cantonal</t>
  </si>
  <si>
    <t>CAP imposable</t>
  </si>
  <si>
    <t>Impôt sur CAP</t>
  </si>
  <si>
    <t>ICD</t>
  </si>
  <si>
    <t>IMPÔT SUR LE BÉNÉFICE</t>
  </si>
  <si>
    <t>IMPÔT SUR LE CAPITAL</t>
  </si>
  <si>
    <t>IFD</t>
  </si>
  <si>
    <t>Montant cumulé</t>
  </si>
  <si>
    <t>SA</t>
  </si>
  <si>
    <t>ASS</t>
  </si>
  <si>
    <t>HOLDING</t>
  </si>
  <si>
    <t>BN IMPOSABLE</t>
  </si>
  <si>
    <t>Coefficient</t>
  </si>
  <si>
    <t xml:space="preserve">Le présent document de ne doit pas être considéré comme une pièce officielle. Il ne saurait dès lors remplacer la déclaration d'impôt. </t>
  </si>
  <si>
    <t>Il est indispensable d'établir celle-ci sur les revenus réalisés et les charges supportées durant la période d'assujettissement,</t>
  </si>
  <si>
    <t>conformément à vos obligations légales (art. 190 LCdir) et dans le délai imparti !</t>
  </si>
  <si>
    <t>Taux d'imposition du bénéfice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</si>
</sst>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0.0000%"/>
    <numFmt numFmtId="166" formatCode="0.000%"/>
  </numFmts>
  <fonts count="1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"/>
      <color indexed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/>
      <diagonal/>
    </border>
    <border>
      <left/>
      <right/>
      <top/>
      <bottom style="dotted">
        <color theme="2" tint="-0.499984740745262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26">
    <xf numFmtId="0" fontId="0" fillId="0" borderId="0" xfId="0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43" fontId="3" fillId="0" borderId="0" xfId="0" applyNumberFormat="1" applyFont="1" applyProtection="1">
      <protection hidden="1"/>
    </xf>
    <xf numFmtId="0" fontId="3" fillId="0" borderId="0" xfId="0" applyFont="1" applyBorder="1" applyProtection="1">
      <protection hidden="1"/>
    </xf>
    <xf numFmtId="0" fontId="4" fillId="0" borderId="0" xfId="0" applyFont="1" applyProtection="1">
      <protection hidden="1"/>
    </xf>
    <xf numFmtId="43" fontId="3" fillId="0" borderId="0" xfId="1" applyFont="1" applyProtection="1">
      <protection hidden="1"/>
    </xf>
    <xf numFmtId="0" fontId="7" fillId="0" borderId="0" xfId="0" applyFont="1" applyProtection="1">
      <protection hidden="1"/>
    </xf>
    <xf numFmtId="164" fontId="3" fillId="0" borderId="0" xfId="0" applyNumberFormat="1" applyFont="1" applyProtection="1">
      <protection hidden="1"/>
    </xf>
    <xf numFmtId="10" fontId="3" fillId="0" borderId="0" xfId="0" applyNumberFormat="1" applyFont="1" applyProtection="1">
      <protection hidden="1"/>
    </xf>
    <xf numFmtId="43" fontId="4" fillId="0" borderId="0" xfId="1" applyFont="1" applyProtection="1">
      <protection hidden="1"/>
    </xf>
    <xf numFmtId="0" fontId="8" fillId="2" borderId="1" xfId="0" applyFont="1" applyFill="1" applyBorder="1" applyAlignme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0" applyNumberFormat="1" applyBorder="1"/>
    <xf numFmtId="165" fontId="0" fillId="0" borderId="7" xfId="0" applyNumberFormat="1" applyBorder="1"/>
    <xf numFmtId="0" fontId="0" fillId="0" borderId="8" xfId="0" applyBorder="1" applyAlignment="1">
      <alignment horizontal="center"/>
    </xf>
    <xf numFmtId="0" fontId="0" fillId="0" borderId="8" xfId="0" applyBorder="1"/>
    <xf numFmtId="43" fontId="0" fillId="0" borderId="8" xfId="0" applyNumberFormat="1" applyBorder="1"/>
    <xf numFmtId="165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43" fontId="0" fillId="0" borderId="6" xfId="0" applyNumberFormat="1" applyBorder="1"/>
    <xf numFmtId="165" fontId="0" fillId="0" borderId="6" xfId="0" applyNumberFormat="1" applyBorder="1"/>
    <xf numFmtId="0" fontId="0" fillId="3" borderId="0" xfId="0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43" fontId="0" fillId="3" borderId="6" xfId="0" applyNumberFormat="1" applyFill="1" applyBorder="1"/>
    <xf numFmtId="165" fontId="0" fillId="3" borderId="6" xfId="0" applyNumberFormat="1" applyFill="1" applyBorder="1"/>
    <xf numFmtId="0" fontId="0" fillId="3" borderId="0" xfId="0" applyFill="1"/>
    <xf numFmtId="43" fontId="0" fillId="3" borderId="10" xfId="0" applyNumberFormat="1" applyFill="1" applyBorder="1" applyAlignment="1"/>
    <xf numFmtId="165" fontId="0" fillId="3" borderId="10" xfId="2" applyNumberFormat="1" applyFont="1" applyFill="1" applyBorder="1" applyAlignment="1"/>
    <xf numFmtId="0" fontId="0" fillId="3" borderId="10" xfId="0" applyFill="1" applyBorder="1" applyAlignment="1"/>
    <xf numFmtId="0" fontId="0" fillId="3" borderId="9" xfId="0" applyFill="1" applyBorder="1" applyAlignment="1"/>
    <xf numFmtId="10" fontId="0" fillId="3" borderId="10" xfId="2" applyNumberFormat="1" applyFont="1" applyFill="1" applyBorder="1" applyAlignment="1"/>
    <xf numFmtId="165" fontId="6" fillId="6" borderId="5" xfId="2" applyNumberFormat="1" applyFont="1" applyFill="1" applyBorder="1" applyAlignment="1" applyProtection="1">
      <alignment horizontal="center"/>
      <protection hidden="1"/>
    </xf>
    <xf numFmtId="43" fontId="4" fillId="5" borderId="5" xfId="0" applyNumberFormat="1" applyFont="1" applyFill="1" applyBorder="1" applyProtection="1">
      <protection hidden="1"/>
    </xf>
    <xf numFmtId="43" fontId="4" fillId="5" borderId="5" xfId="1" applyFont="1" applyFill="1" applyBorder="1" applyProtection="1">
      <protection hidden="1"/>
    </xf>
    <xf numFmtId="164" fontId="3" fillId="4" borderId="5" xfId="0" applyNumberFormat="1" applyFont="1" applyFill="1" applyBorder="1" applyProtection="1">
      <protection hidden="1"/>
    </xf>
    <xf numFmtId="10" fontId="3" fillId="4" borderId="5" xfId="0" applyNumberFormat="1" applyFont="1" applyFill="1" applyBorder="1" applyProtection="1">
      <protection hidden="1"/>
    </xf>
    <xf numFmtId="165" fontId="3" fillId="4" borderId="5" xfId="0" applyNumberFormat="1" applyFont="1" applyFill="1" applyBorder="1" applyProtection="1">
      <protection hidden="1"/>
    </xf>
    <xf numFmtId="43" fontId="3" fillId="4" borderId="5" xfId="1" applyFont="1" applyFill="1" applyBorder="1" applyProtection="1">
      <protection hidden="1"/>
    </xf>
    <xf numFmtId="164" fontId="3" fillId="4" borderId="5" xfId="1" applyNumberFormat="1" applyFont="1" applyFill="1" applyBorder="1" applyProtection="1">
      <protection locked="0"/>
    </xf>
    <xf numFmtId="165" fontId="3" fillId="4" borderId="5" xfId="2" applyNumberFormat="1" applyFont="1" applyFill="1" applyBorder="1" applyProtection="1">
      <protection locked="0"/>
    </xf>
    <xf numFmtId="0" fontId="3" fillId="0" borderId="11" xfId="0" applyFont="1" applyBorder="1" applyAlignment="1" applyProtection="1">
      <alignment horizontal="left"/>
      <protection hidden="1"/>
    </xf>
    <xf numFmtId="0" fontId="3" fillId="0" borderId="11" xfId="0" applyFont="1" applyBorder="1" applyProtection="1">
      <protection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9" fontId="3" fillId="4" borderId="5" xfId="2" applyFont="1" applyFill="1" applyBorder="1" applyProtection="1">
      <protection hidden="1"/>
    </xf>
    <xf numFmtId="0" fontId="0" fillId="0" borderId="6" xfId="0" applyFill="1" applyBorder="1" applyAlignment="1">
      <alignment horizontal="center"/>
    </xf>
    <xf numFmtId="0" fontId="0" fillId="0" borderId="6" xfId="0" applyFill="1" applyBorder="1"/>
    <xf numFmtId="43" fontId="0" fillId="0" borderId="6" xfId="0" applyNumberFormat="1" applyFill="1" applyBorder="1"/>
    <xf numFmtId="165" fontId="0" fillId="0" borderId="6" xfId="0" applyNumberFormat="1" applyFill="1" applyBorder="1"/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43" fontId="0" fillId="3" borderId="13" xfId="0" applyNumberFormat="1" applyFill="1" applyBorder="1"/>
    <xf numFmtId="165" fontId="0" fillId="3" borderId="13" xfId="0" applyNumberFormat="1" applyFill="1" applyBorder="1"/>
    <xf numFmtId="0" fontId="0" fillId="3" borderId="14" xfId="0" applyFill="1" applyBorder="1" applyAlignment="1">
      <alignment horizontal="center"/>
    </xf>
    <xf numFmtId="0" fontId="0" fillId="3" borderId="14" xfId="0" applyFill="1" applyBorder="1"/>
    <xf numFmtId="43" fontId="0" fillId="3" borderId="14" xfId="0" applyNumberFormat="1" applyFill="1" applyBorder="1"/>
    <xf numFmtId="165" fontId="0" fillId="3" borderId="14" xfId="0" applyNumberFormat="1" applyFill="1" applyBorder="1"/>
    <xf numFmtId="0" fontId="0" fillId="0" borderId="13" xfId="0" applyBorder="1" applyAlignment="1">
      <alignment horizontal="center"/>
    </xf>
    <xf numFmtId="0" fontId="0" fillId="0" borderId="13" xfId="0" applyBorder="1"/>
    <xf numFmtId="43" fontId="0" fillId="0" borderId="13" xfId="0" applyNumberFormat="1" applyBorder="1"/>
    <xf numFmtId="165" fontId="0" fillId="0" borderId="13" xfId="0" applyNumberFormat="1" applyBorder="1"/>
    <xf numFmtId="0" fontId="0" fillId="0" borderId="14" xfId="0" applyBorder="1" applyAlignment="1">
      <alignment horizontal="center"/>
    </xf>
    <xf numFmtId="0" fontId="0" fillId="0" borderId="14" xfId="0" applyBorder="1"/>
    <xf numFmtId="43" fontId="0" fillId="0" borderId="14" xfId="0" applyNumberFormat="1" applyBorder="1"/>
    <xf numFmtId="165" fontId="0" fillId="0" borderId="14" xfId="0" applyNumberFormat="1" applyBorder="1"/>
    <xf numFmtId="0" fontId="0" fillId="0" borderId="12" xfId="0" applyBorder="1" applyAlignment="1">
      <alignment horizontal="center"/>
    </xf>
    <xf numFmtId="0" fontId="0" fillId="0" borderId="12" xfId="0" applyBorder="1"/>
    <xf numFmtId="43" fontId="0" fillId="0" borderId="12" xfId="0" applyNumberFormat="1" applyBorder="1"/>
    <xf numFmtId="165" fontId="0" fillId="0" borderId="12" xfId="0" applyNumberFormat="1" applyBorder="1"/>
    <xf numFmtId="0" fontId="0" fillId="3" borderId="12" xfId="0" applyFill="1" applyBorder="1" applyAlignment="1">
      <alignment horizontal="center"/>
    </xf>
    <xf numFmtId="0" fontId="0" fillId="3" borderId="12" xfId="0" applyFill="1" applyBorder="1"/>
    <xf numFmtId="43" fontId="0" fillId="3" borderId="12" xfId="0" applyNumberFormat="1" applyFill="1" applyBorder="1"/>
    <xf numFmtId="165" fontId="0" fillId="3" borderId="12" xfId="0" applyNumberFormat="1" applyFill="1" applyBorder="1"/>
    <xf numFmtId="0" fontId="0" fillId="3" borderId="15" xfId="0" applyFill="1" applyBorder="1" applyAlignment="1">
      <alignment horizontal="center"/>
    </xf>
    <xf numFmtId="0" fontId="0" fillId="3" borderId="15" xfId="0" applyFill="1" applyBorder="1"/>
    <xf numFmtId="43" fontId="0" fillId="3" borderId="15" xfId="0" applyNumberFormat="1" applyFill="1" applyBorder="1"/>
    <xf numFmtId="165" fontId="0" fillId="3" borderId="15" xfId="0" applyNumberFormat="1" applyFill="1" applyBorder="1"/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43" fontId="0" fillId="0" borderId="13" xfId="0" applyNumberFormat="1" applyFill="1" applyBorder="1"/>
    <xf numFmtId="165" fontId="0" fillId="0" borderId="13" xfId="0" applyNumberFormat="1" applyFill="1" applyBorder="1"/>
    <xf numFmtId="0" fontId="0" fillId="0" borderId="14" xfId="0" applyFill="1" applyBorder="1" applyAlignment="1">
      <alignment horizontal="center"/>
    </xf>
    <xf numFmtId="0" fontId="0" fillId="0" borderId="14" xfId="0" applyFill="1" applyBorder="1"/>
    <xf numFmtId="43" fontId="0" fillId="0" borderId="14" xfId="0" applyNumberFormat="1" applyFill="1" applyBorder="1"/>
    <xf numFmtId="165" fontId="0" fillId="0" borderId="14" xfId="0" applyNumberFormat="1" applyFill="1" applyBorder="1"/>
    <xf numFmtId="0" fontId="11" fillId="5" borderId="0" xfId="0" applyFont="1" applyFill="1"/>
    <xf numFmtId="0" fontId="11" fillId="3" borderId="0" xfId="0" applyFont="1" applyFill="1"/>
    <xf numFmtId="10" fontId="0" fillId="3" borderId="0" xfId="0" applyNumberFormat="1" applyFill="1"/>
    <xf numFmtId="43" fontId="0" fillId="0" borderId="0" xfId="1" applyFont="1"/>
    <xf numFmtId="0" fontId="3" fillId="4" borderId="0" xfId="0" applyFont="1" applyFill="1" applyAlignment="1" applyProtection="1">
      <alignment horizontal="left"/>
      <protection locked="0"/>
    </xf>
    <xf numFmtId="0" fontId="0" fillId="0" borderId="16" xfId="0" applyBorder="1"/>
    <xf numFmtId="43" fontId="0" fillId="3" borderId="0" xfId="1" applyFont="1" applyFill="1"/>
    <xf numFmtId="0" fontId="0" fillId="3" borderId="16" xfId="0" applyFill="1" applyBorder="1"/>
    <xf numFmtId="0" fontId="0" fillId="5" borderId="0" xfId="0" applyFill="1"/>
    <xf numFmtId="10" fontId="0" fillId="0" borderId="0" xfId="0" applyNumberFormat="1"/>
    <xf numFmtId="166" fontId="0" fillId="0" borderId="0" xfId="2" applyNumberFormat="1" applyFont="1"/>
    <xf numFmtId="166" fontId="0" fillId="0" borderId="0" xfId="0" applyNumberFormat="1"/>
    <xf numFmtId="9" fontId="0" fillId="0" borderId="0" xfId="0" applyNumberFormat="1"/>
    <xf numFmtId="165" fontId="0" fillId="0" borderId="0" xfId="2" applyNumberFormat="1" applyFont="1"/>
    <xf numFmtId="0" fontId="15" fillId="6" borderId="20" xfId="3" applyFont="1" applyFill="1" applyBorder="1" applyAlignment="1" applyProtection="1">
      <alignment horizontal="center"/>
      <protection hidden="1"/>
    </xf>
    <xf numFmtId="0" fontId="15" fillId="6" borderId="21" xfId="3" applyFont="1" applyFill="1" applyBorder="1" applyAlignment="1" applyProtection="1">
      <alignment horizontal="center"/>
      <protection hidden="1"/>
    </xf>
    <xf numFmtId="0" fontId="15" fillId="6" borderId="19" xfId="3" applyFont="1" applyFill="1" applyBorder="1" applyAlignment="1" applyProtection="1">
      <alignment horizontal="center"/>
      <protection hidden="1"/>
    </xf>
    <xf numFmtId="0" fontId="15" fillId="6" borderId="0" xfId="3" applyFont="1" applyFill="1" applyBorder="1" applyAlignment="1" applyProtection="1">
      <alignment horizontal="center"/>
      <protection hidden="1"/>
    </xf>
    <xf numFmtId="0" fontId="15" fillId="6" borderId="17" xfId="3" applyFont="1" applyFill="1" applyBorder="1" applyAlignment="1" applyProtection="1">
      <alignment horizontal="center"/>
      <protection hidden="1"/>
    </xf>
    <xf numFmtId="0" fontId="15" fillId="6" borderId="18" xfId="3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3" fillId="4" borderId="0" xfId="0" applyFont="1" applyFill="1" applyAlignment="1" applyProtection="1">
      <alignment horizontal="left"/>
      <protection locked="0"/>
    </xf>
    <xf numFmtId="0" fontId="11" fillId="5" borderId="0" xfId="0" applyFont="1" applyFill="1" applyAlignment="1">
      <alignment horizontal="center"/>
    </xf>
    <xf numFmtId="0" fontId="0" fillId="5" borderId="9" xfId="0" applyFill="1" applyBorder="1" applyAlignment="1">
      <alignment horizontal="right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0" fillId="3" borderId="16" xfId="0" applyFill="1" applyBorder="1" applyAlignment="1">
      <alignment horizontal="center" vertical="center"/>
    </xf>
    <xf numFmtId="0" fontId="0" fillId="5" borderId="0" xfId="0" applyFill="1" applyAlignment="1">
      <alignment horizontal="center" wrapText="1"/>
    </xf>
  </cellXfs>
  <cellStyles count="4">
    <cellStyle name="Milliers" xfId="1" builtinId="3"/>
    <cellStyle name="Normal" xfId="0" builtinId="0"/>
    <cellStyle name="Normal 3" xfId="3" xr:uid="{00000000-0005-0000-0000-000002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0</xdr:col>
      <xdr:colOff>2695575</xdr:colOff>
      <xdr:row>0</xdr:row>
      <xdr:rowOff>556874</xdr:rowOff>
    </xdr:to>
    <xdr:pic>
      <xdr:nvPicPr>
        <xdr:cNvPr id="2" name="Image 1" descr="01ne.ch_CMYK - CONTRI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14300"/>
          <a:ext cx="2638425" cy="442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85724</xdr:colOff>
      <xdr:row>3</xdr:row>
      <xdr:rowOff>133349</xdr:rowOff>
    </xdr:from>
    <xdr:to>
      <xdr:col>15</xdr:col>
      <xdr:colOff>694477</xdr:colOff>
      <xdr:row>19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4" y="619124"/>
          <a:ext cx="5180753" cy="252412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</xdr:row>
      <xdr:rowOff>9525</xdr:rowOff>
    </xdr:from>
    <xdr:to>
      <xdr:col>7</xdr:col>
      <xdr:colOff>710268</xdr:colOff>
      <xdr:row>16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55380"/>
        <a:stretch/>
      </xdr:blipFill>
      <xdr:spPr>
        <a:xfrm>
          <a:off x="819150" y="657225"/>
          <a:ext cx="5225118" cy="20193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76201</xdr:colOff>
      <xdr:row>17</xdr:row>
      <xdr:rowOff>16119</xdr:rowOff>
    </xdr:from>
    <xdr:to>
      <xdr:col>7</xdr:col>
      <xdr:colOff>676275</xdr:colOff>
      <xdr:row>49</xdr:row>
      <xdr:rowOff>26850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1" y="2768844"/>
          <a:ext cx="5172074" cy="5192331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49</xdr:row>
      <xdr:rowOff>120895</xdr:rowOff>
    </xdr:from>
    <xdr:to>
      <xdr:col>7</xdr:col>
      <xdr:colOff>703285</xdr:colOff>
      <xdr:row>62</xdr:row>
      <xdr:rowOff>104775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8675" y="8055220"/>
          <a:ext cx="5208610" cy="2088905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62</xdr:row>
      <xdr:rowOff>142874</xdr:rowOff>
    </xdr:from>
    <xdr:to>
      <xdr:col>7</xdr:col>
      <xdr:colOff>714375</xdr:colOff>
      <xdr:row>78</xdr:row>
      <xdr:rowOff>111941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43302"/>
        <a:stretch/>
      </xdr:blipFill>
      <xdr:spPr>
        <a:xfrm>
          <a:off x="838200" y="10182224"/>
          <a:ext cx="5210175" cy="2559867"/>
        </a:xfrm>
        <a:prstGeom prst="rect">
          <a:avLst/>
        </a:prstGeom>
      </xdr:spPr>
    </xdr:pic>
    <xdr:clientData/>
  </xdr:twoCellAnchor>
  <xdr:twoCellAnchor editAs="oneCell">
    <xdr:from>
      <xdr:col>17</xdr:col>
      <xdr:colOff>58449</xdr:colOff>
      <xdr:row>3</xdr:row>
      <xdr:rowOff>152400</xdr:rowOff>
    </xdr:from>
    <xdr:to>
      <xdr:col>24</xdr:col>
      <xdr:colOff>600074</xdr:colOff>
      <xdr:row>26</xdr:row>
      <xdr:rowOff>101238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183649" y="638175"/>
          <a:ext cx="5875625" cy="3673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2" tint="-0.499984740745262"/>
    <pageSetUpPr fitToPage="1"/>
  </sheetPr>
  <dimension ref="A1:M147"/>
  <sheetViews>
    <sheetView showGridLines="0" tabSelected="1" zoomScale="85" zoomScaleNormal="85" workbookViewId="0">
      <selection activeCell="B5" sqref="B5"/>
    </sheetView>
  </sheetViews>
  <sheetFormatPr baseColWidth="10" defaultRowHeight="15" x14ac:dyDescent="0.25"/>
  <cols>
    <col min="1" max="1" width="41.5703125" style="1" customWidth="1"/>
    <col min="2" max="4" width="24.7109375" style="1" customWidth="1"/>
    <col min="5" max="16384" width="11.42578125" style="1"/>
  </cols>
  <sheetData>
    <row r="1" spans="1:6" ht="53.25" customHeight="1" x14ac:dyDescent="0.35">
      <c r="A1" s="13"/>
      <c r="B1" s="115" t="s">
        <v>30</v>
      </c>
      <c r="C1" s="116"/>
      <c r="D1" s="117"/>
    </row>
    <row r="3" spans="1:6" ht="18.75" x14ac:dyDescent="0.3">
      <c r="A3" s="3" t="s">
        <v>11</v>
      </c>
    </row>
    <row r="5" spans="1:6" s="4" customFormat="1" ht="16.5" thickBot="1" x14ac:dyDescent="0.3">
      <c r="A5" s="50" t="s">
        <v>8</v>
      </c>
      <c r="B5" s="99">
        <v>2026</v>
      </c>
    </row>
    <row r="6" spans="1:6" s="4" customFormat="1" ht="5.25" customHeight="1" x14ac:dyDescent="0.25"/>
    <row r="7" spans="1:6" s="4" customFormat="1" ht="16.5" thickBot="1" x14ac:dyDescent="0.3">
      <c r="A7" s="50" t="s">
        <v>14</v>
      </c>
      <c r="B7" s="119" t="s">
        <v>12</v>
      </c>
      <c r="C7" s="119"/>
    </row>
    <row r="8" spans="1:6" s="4" customFormat="1" ht="5.25" customHeight="1" x14ac:dyDescent="0.25"/>
    <row r="9" spans="1:6" s="4" customFormat="1" ht="16.5" customHeight="1" thickBot="1" x14ac:dyDescent="0.3">
      <c r="A9" s="50" t="s">
        <v>0</v>
      </c>
      <c r="B9" s="48"/>
      <c r="E9" s="14"/>
      <c r="F9" s="14"/>
    </row>
    <row r="10" spans="1:6" s="4" customFormat="1" ht="5.25" customHeight="1" x14ac:dyDescent="0.25">
      <c r="E10" s="14"/>
      <c r="F10" s="14"/>
    </row>
    <row r="11" spans="1:6" s="4" customFormat="1" ht="16.5" thickBot="1" x14ac:dyDescent="0.3">
      <c r="A11" s="50" t="s">
        <v>1</v>
      </c>
      <c r="B11" s="48"/>
    </row>
    <row r="12" spans="1:6" s="4" customFormat="1" ht="5.25" customHeight="1" x14ac:dyDescent="0.25"/>
    <row r="13" spans="1:6" s="4" customFormat="1" ht="16.5" thickBot="1" x14ac:dyDescent="0.3">
      <c r="A13" s="50" t="s">
        <v>15</v>
      </c>
      <c r="B13" s="49"/>
    </row>
    <row r="14" spans="1:6" s="4" customFormat="1" ht="5.25" customHeight="1" x14ac:dyDescent="0.25"/>
    <row r="15" spans="1:6" s="4" customFormat="1" ht="16.5" thickBot="1" x14ac:dyDescent="0.3">
      <c r="A15" s="50" t="s">
        <v>16</v>
      </c>
      <c r="B15" s="49"/>
    </row>
    <row r="16" spans="1:6" s="4" customFormat="1" ht="5.25" customHeight="1" x14ac:dyDescent="0.25"/>
    <row r="17" spans="1:4" s="4" customFormat="1" ht="16.5" thickBot="1" x14ac:dyDescent="0.3">
      <c r="A17" s="50" t="s">
        <v>17</v>
      </c>
      <c r="B17" s="49"/>
      <c r="D17" s="5"/>
    </row>
    <row r="18" spans="1:4" s="4" customFormat="1" ht="5.25" customHeight="1" x14ac:dyDescent="0.25"/>
    <row r="19" spans="1:4" s="4" customFormat="1" ht="16.5" thickBot="1" x14ac:dyDescent="0.3">
      <c r="A19" s="50" t="s">
        <v>18</v>
      </c>
      <c r="B19" s="49"/>
    </row>
    <row r="20" spans="1:4" s="4" customFormat="1" ht="15.75" x14ac:dyDescent="0.25"/>
    <row r="21" spans="1:4" s="4" customFormat="1" ht="16.5" thickBot="1" x14ac:dyDescent="0.3">
      <c r="A21" s="50" t="s">
        <v>2</v>
      </c>
      <c r="B21" s="48"/>
    </row>
    <row r="22" spans="1:4" s="4" customFormat="1" ht="5.25" customHeight="1" x14ac:dyDescent="0.25"/>
    <row r="23" spans="1:4" s="4" customFormat="1" ht="16.5" thickBot="1" x14ac:dyDescent="0.3">
      <c r="A23" s="50" t="s">
        <v>19</v>
      </c>
      <c r="B23" s="49"/>
      <c r="C23" s="118" t="str">
        <f>IF(AND(B5&gt;2019,B7="Holding"),"Le statut holding n'est plus applicable depuis 2020. La part du capital composée de participations qualifiées, de prêts aux sociétés du groupe et de brevets est imposable à un taux réduit.","")</f>
        <v/>
      </c>
      <c r="D23" s="118"/>
    </row>
    <row r="24" spans="1:4" x14ac:dyDescent="0.25">
      <c r="C24" s="118"/>
      <c r="D24" s="118"/>
    </row>
    <row r="25" spans="1:4" x14ac:dyDescent="0.25">
      <c r="C25" s="118"/>
      <c r="D25" s="118"/>
    </row>
    <row r="26" spans="1:4" ht="18.75" x14ac:dyDescent="0.3">
      <c r="A26" s="3" t="s">
        <v>23</v>
      </c>
      <c r="C26" s="118"/>
      <c r="D26" s="118"/>
    </row>
    <row r="27" spans="1:4" x14ac:dyDescent="0.25">
      <c r="C27" s="118"/>
      <c r="D27" s="118"/>
    </row>
    <row r="28" spans="1:4" s="4" customFormat="1" ht="15.75" x14ac:dyDescent="0.25">
      <c r="B28" s="41" t="s">
        <v>20</v>
      </c>
      <c r="C28" s="41" t="s">
        <v>22</v>
      </c>
      <c r="D28" s="41" t="s">
        <v>21</v>
      </c>
    </row>
    <row r="29" spans="1:4" s="4" customFormat="1" ht="15.75" x14ac:dyDescent="0.25"/>
    <row r="30" spans="1:4" s="4" customFormat="1" ht="16.5" thickBot="1" x14ac:dyDescent="0.3">
      <c r="A30" s="51" t="s">
        <v>1</v>
      </c>
      <c r="B30" s="44">
        <f>B11</f>
        <v>0</v>
      </c>
      <c r="C30" s="44">
        <f>B30</f>
        <v>0</v>
      </c>
      <c r="D30" s="44">
        <f>C30</f>
        <v>0</v>
      </c>
    </row>
    <row r="31" spans="1:4" s="4" customFormat="1" ht="5.25" customHeight="1" x14ac:dyDescent="0.25"/>
    <row r="32" spans="1:4" s="4" customFormat="1" ht="16.5" thickBot="1" x14ac:dyDescent="0.3">
      <c r="A32" s="51" t="s">
        <v>61</v>
      </c>
      <c r="B32" s="46">
        <f>+'Calcul impôt'!E10</f>
        <v>0</v>
      </c>
      <c r="C32" s="46">
        <f>B32</f>
        <v>0</v>
      </c>
      <c r="D32" s="45">
        <f>+'Calcul impôt'!S10</f>
        <v>0</v>
      </c>
    </row>
    <row r="33" spans="1:4" s="4" customFormat="1" ht="5.25" customHeight="1" x14ac:dyDescent="0.25">
      <c r="A33" s="6"/>
    </row>
    <row r="34" spans="1:4" s="4" customFormat="1" ht="16.5" thickBot="1" x14ac:dyDescent="0.3">
      <c r="A34" s="51" t="s">
        <v>32</v>
      </c>
      <c r="B34" s="54">
        <f>VLOOKUP($B$5,Paramètres!$A$3:$F$19,5,0)</f>
        <v>1.25</v>
      </c>
      <c r="C34" s="54">
        <f>VLOOKUP($B$5,Paramètres!$A$3:$F$19,6,0)</f>
        <v>0.75</v>
      </c>
    </row>
    <row r="35" spans="1:4" s="4" customFormat="1" ht="5.25" customHeight="1" x14ac:dyDescent="0.25">
      <c r="A35" s="6"/>
    </row>
    <row r="36" spans="1:4" s="4" customFormat="1" ht="16.5" thickBot="1" x14ac:dyDescent="0.3">
      <c r="A36" s="51" t="s">
        <v>4</v>
      </c>
      <c r="B36" s="47">
        <f>MROUND(B30*B32*B34,0.05)</f>
        <v>0</v>
      </c>
      <c r="C36" s="47">
        <f>MROUND(C30*C32*C34,0.05)</f>
        <v>0</v>
      </c>
      <c r="D36" s="47">
        <f>IF(B92=2,0,MROUND(D30*D32,0.05))</f>
        <v>0</v>
      </c>
    </row>
    <row r="37" spans="1:4" s="4" customFormat="1" ht="5.25" customHeight="1" x14ac:dyDescent="0.25">
      <c r="A37" s="6"/>
    </row>
    <row r="38" spans="1:4" s="4" customFormat="1" ht="16.5" thickBot="1" x14ac:dyDescent="0.3">
      <c r="A38" s="51" t="s">
        <v>10</v>
      </c>
      <c r="B38" s="47">
        <f>-MROUND(B36*(B13),0.05)</f>
        <v>0</v>
      </c>
      <c r="C38" s="47">
        <f>-MROUND(C36*(B13),0.05)</f>
        <v>0</v>
      </c>
      <c r="D38" s="47">
        <f>-MROUND(D36*(B15),0.05)</f>
        <v>0</v>
      </c>
    </row>
    <row r="39" spans="1:4" s="4" customFormat="1" ht="5.25" customHeight="1" x14ac:dyDescent="0.25">
      <c r="B39" s="8"/>
      <c r="C39" s="8"/>
      <c r="D39" s="8"/>
    </row>
    <row r="40" spans="1:4" s="4" customFormat="1" ht="16.5" thickBot="1" x14ac:dyDescent="0.3">
      <c r="A40" s="51" t="s">
        <v>9</v>
      </c>
      <c r="B40" s="47">
        <f>-MROUND((B38+B36)*(B17),0.05)</f>
        <v>0</v>
      </c>
      <c r="C40" s="47">
        <f>-MROUND((C38+C36)*(B17),0.05)</f>
        <v>0</v>
      </c>
      <c r="D40" s="47">
        <f>-MROUND((D38+D36)*(B19),0.05)</f>
        <v>0</v>
      </c>
    </row>
    <row r="41" spans="1:4" s="4" customFormat="1" ht="5.25" customHeight="1" x14ac:dyDescent="0.25"/>
    <row r="42" spans="1:4" s="7" customFormat="1" ht="19.5" thickBot="1" x14ac:dyDescent="0.35">
      <c r="A42" s="52" t="s">
        <v>25</v>
      </c>
      <c r="B42" s="42">
        <f>SUM(B36:B40)</f>
        <v>0</v>
      </c>
      <c r="C42" s="42">
        <f t="shared" ref="C42:D42" si="0">SUM(C36:C40)</f>
        <v>0</v>
      </c>
      <c r="D42" s="42">
        <f t="shared" si="0"/>
        <v>0</v>
      </c>
    </row>
    <row r="43" spans="1:4" s="4" customFormat="1" ht="15.75" x14ac:dyDescent="0.25">
      <c r="A43" s="9"/>
    </row>
    <row r="44" spans="1:4" s="4" customFormat="1" ht="15.75" x14ac:dyDescent="0.25">
      <c r="A44" s="9"/>
    </row>
    <row r="45" spans="1:4" s="4" customFormat="1" ht="16.5" thickBot="1" x14ac:dyDescent="0.3">
      <c r="A45" s="51" t="s">
        <v>2</v>
      </c>
      <c r="B45" s="44">
        <f>B21</f>
        <v>0</v>
      </c>
      <c r="C45" s="44">
        <f>B45</f>
        <v>0</v>
      </c>
    </row>
    <row r="46" spans="1:4" s="4" customFormat="1" ht="5.25" customHeight="1" x14ac:dyDescent="0.25">
      <c r="B46" s="10"/>
      <c r="C46" s="10"/>
    </row>
    <row r="47" spans="1:4" s="4" customFormat="1" ht="16.5" thickBot="1" x14ac:dyDescent="0.3">
      <c r="A47" s="51" t="s">
        <v>29</v>
      </c>
      <c r="B47" s="46">
        <f>+'Calcul impôt'!M9</f>
        <v>0</v>
      </c>
      <c r="C47" s="46">
        <f>B47</f>
        <v>0</v>
      </c>
      <c r="D47" s="11"/>
    </row>
    <row r="48" spans="1:4" s="4" customFormat="1" ht="5.25" customHeight="1" x14ac:dyDescent="0.25">
      <c r="A48" s="6"/>
    </row>
    <row r="49" spans="1:5" s="4" customFormat="1" ht="16.5" thickBot="1" x14ac:dyDescent="0.3">
      <c r="A49" s="51" t="s">
        <v>32</v>
      </c>
      <c r="B49" s="54">
        <f>VLOOKUP($B$5,Paramètres!$A$3:$F$19,5,0)</f>
        <v>1.25</v>
      </c>
      <c r="C49" s="54">
        <f>VLOOKUP($B$5,Paramètres!$A$3:$F$19,6,0)</f>
        <v>0.75</v>
      </c>
    </row>
    <row r="50" spans="1:5" s="4" customFormat="1" ht="5.25" customHeight="1" x14ac:dyDescent="0.25">
      <c r="B50" s="10"/>
      <c r="C50" s="10"/>
    </row>
    <row r="51" spans="1:5" s="4" customFormat="1" ht="16.5" thickBot="1" x14ac:dyDescent="0.3">
      <c r="A51" s="51" t="s">
        <v>5</v>
      </c>
      <c r="B51" s="47">
        <f>MROUND(B45*B47*B49,0.05)</f>
        <v>0</v>
      </c>
      <c r="C51" s="47">
        <f>MROUND(C45*C47*C49,0.05)</f>
        <v>0</v>
      </c>
    </row>
    <row r="52" spans="1:5" s="4" customFormat="1" ht="5.25" customHeight="1" x14ac:dyDescent="0.25">
      <c r="B52" s="8"/>
      <c r="C52" s="8"/>
    </row>
    <row r="53" spans="1:5" s="4" customFormat="1" ht="16.5" thickBot="1" x14ac:dyDescent="0.3">
      <c r="A53" s="51" t="s">
        <v>24</v>
      </c>
      <c r="B53" s="47">
        <f>-MROUND(B51*(B23),0.05)</f>
        <v>0</v>
      </c>
      <c r="C53" s="47">
        <f>-MROUND(C51*(B23),0.05)</f>
        <v>0</v>
      </c>
      <c r="D53" s="8"/>
    </row>
    <row r="54" spans="1:5" s="4" customFormat="1" ht="5.25" customHeight="1" x14ac:dyDescent="0.25">
      <c r="B54" s="8"/>
      <c r="C54" s="8"/>
    </row>
    <row r="55" spans="1:5" s="7" customFormat="1" ht="16.5" thickBot="1" x14ac:dyDescent="0.3">
      <c r="A55" s="53" t="s">
        <v>26</v>
      </c>
      <c r="B55" s="43">
        <f>SUM(B51:B53)</f>
        <v>0</v>
      </c>
      <c r="C55" s="43">
        <f>SUM(C51:C53)</f>
        <v>0</v>
      </c>
    </row>
    <row r="56" spans="1:5" s="4" customFormat="1" ht="15.75" x14ac:dyDescent="0.25">
      <c r="B56" s="10"/>
      <c r="C56" s="10"/>
    </row>
    <row r="57" spans="1:5" s="7" customFormat="1" ht="19.5" thickBot="1" x14ac:dyDescent="0.35">
      <c r="A57" s="52" t="s">
        <v>7</v>
      </c>
      <c r="B57" s="43">
        <f>IF(B7="Association et fondation",0,IF(B5&lt;2011,0,-MIN(B55,B42)))</f>
        <v>0</v>
      </c>
      <c r="C57" s="43">
        <f>IF(B7="Association et fondation",0,IF(B5&lt;2011,0,-MIN(C55,C42)))</f>
        <v>0</v>
      </c>
    </row>
    <row r="58" spans="1:5" s="4" customFormat="1" ht="15.75" x14ac:dyDescent="0.25">
      <c r="B58" s="10"/>
      <c r="C58" s="10"/>
    </row>
    <row r="59" spans="1:5" s="4" customFormat="1" ht="19.5" thickBot="1" x14ac:dyDescent="0.35">
      <c r="A59" s="52" t="s">
        <v>6</v>
      </c>
      <c r="B59" s="43">
        <f>B55+B42+B57</f>
        <v>0</v>
      </c>
      <c r="C59" s="43">
        <f>C55+C42+C57</f>
        <v>0</v>
      </c>
      <c r="D59" s="43">
        <f t="shared" ref="D59" si="1">D55+D42-D57</f>
        <v>0</v>
      </c>
    </row>
    <row r="60" spans="1:5" s="4" customFormat="1" ht="5.25" customHeight="1" x14ac:dyDescent="0.25">
      <c r="B60" s="8"/>
      <c r="C60" s="8"/>
      <c r="D60" s="8"/>
    </row>
    <row r="61" spans="1:5" s="7" customFormat="1" ht="19.5" thickBot="1" x14ac:dyDescent="0.35">
      <c r="A61" s="52" t="s">
        <v>27</v>
      </c>
      <c r="B61" s="43">
        <f>B59+C59</f>
        <v>0</v>
      </c>
      <c r="C61" s="12"/>
      <c r="D61" s="12"/>
    </row>
    <row r="62" spans="1:5" s="9" customFormat="1" ht="5.25" customHeight="1" x14ac:dyDescent="0.25">
      <c r="B62" s="8"/>
      <c r="C62" s="8"/>
      <c r="D62" s="8"/>
      <c r="E62" s="4"/>
    </row>
    <row r="63" spans="1:5" s="9" customFormat="1" ht="19.5" thickBot="1" x14ac:dyDescent="0.35">
      <c r="A63" s="52" t="s">
        <v>28</v>
      </c>
      <c r="B63" s="43">
        <f>B61+D59</f>
        <v>0</v>
      </c>
      <c r="C63" s="8"/>
      <c r="D63" s="8"/>
      <c r="E63" s="4"/>
    </row>
    <row r="64" spans="1:5" s="2" customFormat="1" x14ac:dyDescent="0.25">
      <c r="B64" s="1"/>
      <c r="C64" s="1"/>
      <c r="D64" s="1"/>
      <c r="E64" s="1"/>
    </row>
    <row r="65" spans="1:13" s="2" customFormat="1" x14ac:dyDescent="0.25">
      <c r="A65" s="113" t="s">
        <v>58</v>
      </c>
      <c r="B65" s="114"/>
      <c r="C65" s="114"/>
      <c r="D65" s="114"/>
      <c r="E65" s="1"/>
    </row>
    <row r="66" spans="1:13" customFormat="1" ht="15.75" customHeight="1" x14ac:dyDescent="0.25">
      <c r="A66" s="111" t="s">
        <v>59</v>
      </c>
      <c r="B66" s="112"/>
      <c r="C66" s="112"/>
      <c r="D66" s="112"/>
      <c r="E66" s="1"/>
      <c r="F66" s="2"/>
      <c r="G66" s="2"/>
      <c r="H66" s="2"/>
      <c r="I66" s="2"/>
      <c r="J66" s="2"/>
      <c r="K66" s="2"/>
      <c r="L66" s="2"/>
      <c r="M66" s="2"/>
    </row>
    <row r="67" spans="1:13" customFormat="1" ht="15.75" customHeight="1" x14ac:dyDescent="0.25">
      <c r="A67" s="109" t="s">
        <v>60</v>
      </c>
      <c r="B67" s="110"/>
      <c r="C67" s="110"/>
      <c r="D67" s="110"/>
      <c r="E67" s="1"/>
      <c r="F67" s="2"/>
      <c r="G67" s="2"/>
      <c r="H67" s="2"/>
      <c r="I67" s="2"/>
      <c r="J67" s="2"/>
      <c r="K67" s="2"/>
      <c r="L67" s="2"/>
      <c r="M67" s="2"/>
    </row>
    <row r="68" spans="1:13" customFormat="1" ht="15.75" customHeight="1" x14ac:dyDescent="0.25">
      <c r="E68" s="1"/>
      <c r="F68" s="2"/>
      <c r="G68" s="2"/>
      <c r="H68" s="2"/>
      <c r="I68" s="2"/>
      <c r="J68" s="2"/>
      <c r="K68" s="2"/>
      <c r="L68" s="2"/>
      <c r="M68" s="2"/>
    </row>
    <row r="69" spans="1:13" customFormat="1" ht="15.75" customHeight="1" x14ac:dyDescent="0.25">
      <c r="E69" s="1"/>
      <c r="F69" s="2"/>
      <c r="G69" s="2"/>
      <c r="H69" s="2"/>
      <c r="I69" s="2"/>
      <c r="J69" s="2"/>
      <c r="K69" s="2"/>
      <c r="L69" s="2"/>
      <c r="M69" s="2"/>
    </row>
    <row r="70" spans="1:13" customFormat="1" ht="15.75" customHeight="1" x14ac:dyDescent="0.2"/>
    <row r="71" spans="1:13" customFormat="1" ht="15.75" customHeight="1" x14ac:dyDescent="0.2"/>
    <row r="72" spans="1:13" customFormat="1" ht="15.75" customHeight="1" x14ac:dyDescent="0.2"/>
    <row r="73" spans="1:13" customFormat="1" ht="15.75" customHeight="1" x14ac:dyDescent="0.2"/>
    <row r="74" spans="1:13" customFormat="1" ht="15.75" customHeight="1" x14ac:dyDescent="0.2"/>
    <row r="75" spans="1:13" customFormat="1" ht="15.75" customHeight="1" x14ac:dyDescent="0.2"/>
    <row r="76" spans="1:13" customFormat="1" ht="15.75" customHeight="1" x14ac:dyDescent="0.2"/>
    <row r="77" spans="1:13" customFormat="1" ht="15.75" customHeight="1" x14ac:dyDescent="0.2"/>
    <row r="78" spans="1:13" customFormat="1" ht="15.75" customHeight="1" x14ac:dyDescent="0.2"/>
    <row r="79" spans="1:13" customFormat="1" ht="15.75" customHeight="1" x14ac:dyDescent="0.2"/>
    <row r="80" spans="1:13" customFormat="1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2.75" x14ac:dyDescent="0.2"/>
  </sheetData>
  <sheetProtection algorithmName="SHA-512" hashValue="s8Tr60/h78iwDLB9ODqQ4+/UHbork4H8bGHi1A9iKdUwJvr5bsTOazwlVthebpA6lm5HacI7mPKJHUYBqCFK/Q==" saltValue="HaC/rG2ZHkW30x6kpTCTJg==" spinCount="100000" sheet="1" objects="1" scenarios="1"/>
  <mergeCells count="6">
    <mergeCell ref="A67:D67"/>
    <mergeCell ref="A66:D66"/>
    <mergeCell ref="A65:D65"/>
    <mergeCell ref="B1:D1"/>
    <mergeCell ref="C23:D27"/>
    <mergeCell ref="B7:C7"/>
  </mergeCells>
  <printOptions horizontalCentered="1"/>
  <pageMargins left="0.23622047244094491" right="0.27559055118110237" top="0.52" bottom="0.31496062992125984" header="0.31496062992125984" footer="0.31496062992125984"/>
  <pageSetup paperSize="9" scale="8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Paramètres!$A$3:$A$19</xm:f>
          </x14:formula1>
          <xm:sqref>B5</xm:sqref>
        </x14:dataValidation>
        <x14:dataValidation type="list" allowBlank="1" showInputMessage="1" showErrorMessage="1" xr:uid="{00000000-0002-0000-0000-000001000000}">
          <x14:formula1>
            <xm:f>Paramètres!$C$3:$C$5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499984740745262"/>
  </sheetPr>
  <dimension ref="A1:F19"/>
  <sheetViews>
    <sheetView workbookViewId="0">
      <selection activeCell="N72" sqref="N72"/>
    </sheetView>
  </sheetViews>
  <sheetFormatPr baseColWidth="10" defaultRowHeight="12.75" x14ac:dyDescent="0.2"/>
  <cols>
    <col min="1" max="1" width="14.5703125" bestFit="1" customWidth="1"/>
    <col min="2" max="2" width="1.42578125" customWidth="1"/>
    <col min="3" max="3" width="32.42578125" customWidth="1"/>
    <col min="4" max="4" width="1.7109375" customWidth="1"/>
  </cols>
  <sheetData>
    <row r="1" spans="1:6" x14ac:dyDescent="0.2">
      <c r="E1" s="120" t="s">
        <v>43</v>
      </c>
      <c r="F1" s="120"/>
    </row>
    <row r="2" spans="1:6" x14ac:dyDescent="0.2">
      <c r="A2" s="95" t="s">
        <v>33</v>
      </c>
      <c r="C2" s="95" t="s">
        <v>34</v>
      </c>
      <c r="E2" s="96" t="s">
        <v>45</v>
      </c>
      <c r="F2" s="96" t="s">
        <v>44</v>
      </c>
    </row>
    <row r="3" spans="1:6" x14ac:dyDescent="0.2">
      <c r="A3" s="35">
        <v>2010</v>
      </c>
      <c r="C3" s="30" t="s">
        <v>12</v>
      </c>
      <c r="E3" s="97">
        <v>1</v>
      </c>
      <c r="F3" s="97">
        <v>1</v>
      </c>
    </row>
    <row r="4" spans="1:6" x14ac:dyDescent="0.2">
      <c r="A4" s="35">
        <v>2011</v>
      </c>
      <c r="C4" s="30" t="s">
        <v>13</v>
      </c>
      <c r="E4" s="97">
        <v>1</v>
      </c>
      <c r="F4" s="97">
        <v>1</v>
      </c>
    </row>
    <row r="5" spans="1:6" x14ac:dyDescent="0.2">
      <c r="A5" s="35">
        <v>2012</v>
      </c>
      <c r="C5" s="35" t="s">
        <v>3</v>
      </c>
      <c r="E5" s="97">
        <v>1</v>
      </c>
      <c r="F5" s="97">
        <v>1</v>
      </c>
    </row>
    <row r="6" spans="1:6" x14ac:dyDescent="0.2">
      <c r="A6" s="35">
        <v>2013</v>
      </c>
      <c r="E6" s="97">
        <v>1</v>
      </c>
      <c r="F6" s="97">
        <v>1</v>
      </c>
    </row>
    <row r="7" spans="1:6" x14ac:dyDescent="0.2">
      <c r="A7" s="35">
        <v>2014</v>
      </c>
      <c r="E7" s="97">
        <v>1.23</v>
      </c>
      <c r="F7" s="97">
        <v>0.77</v>
      </c>
    </row>
    <row r="8" spans="1:6" x14ac:dyDescent="0.2">
      <c r="A8" s="35">
        <v>2015</v>
      </c>
      <c r="E8" s="97">
        <v>1.23</v>
      </c>
      <c r="F8" s="97">
        <v>0.77</v>
      </c>
    </row>
    <row r="9" spans="1:6" x14ac:dyDescent="0.2">
      <c r="A9" s="35">
        <v>2016</v>
      </c>
      <c r="E9" s="97">
        <v>1.23</v>
      </c>
      <c r="F9" s="97">
        <v>0.77</v>
      </c>
    </row>
    <row r="10" spans="1:6" x14ac:dyDescent="0.2">
      <c r="A10" s="35">
        <v>2017</v>
      </c>
      <c r="E10" s="97">
        <v>1.24</v>
      </c>
      <c r="F10" s="97">
        <v>0.76</v>
      </c>
    </row>
    <row r="11" spans="1:6" x14ac:dyDescent="0.2">
      <c r="A11" s="35">
        <v>2018</v>
      </c>
      <c r="E11" s="97">
        <v>1.25</v>
      </c>
      <c r="F11" s="97">
        <v>0.75</v>
      </c>
    </row>
    <row r="12" spans="1:6" x14ac:dyDescent="0.2">
      <c r="A12" s="35">
        <v>2019</v>
      </c>
      <c r="E12" s="97">
        <v>1.25</v>
      </c>
      <c r="F12" s="97">
        <v>0.75</v>
      </c>
    </row>
    <row r="13" spans="1:6" x14ac:dyDescent="0.2">
      <c r="A13" s="35">
        <v>2020</v>
      </c>
      <c r="E13" s="97">
        <v>1.25</v>
      </c>
      <c r="F13" s="97">
        <v>0.75</v>
      </c>
    </row>
    <row r="14" spans="1:6" x14ac:dyDescent="0.2">
      <c r="A14" s="35">
        <v>2021</v>
      </c>
      <c r="E14" s="97">
        <v>1.25</v>
      </c>
      <c r="F14" s="97">
        <v>0.75</v>
      </c>
    </row>
    <row r="15" spans="1:6" x14ac:dyDescent="0.2">
      <c r="A15" s="35">
        <v>2022</v>
      </c>
      <c r="E15" s="97">
        <v>1.25</v>
      </c>
      <c r="F15" s="97">
        <v>0.75</v>
      </c>
    </row>
    <row r="16" spans="1:6" x14ac:dyDescent="0.2">
      <c r="A16" s="35">
        <v>2023</v>
      </c>
      <c r="E16" s="97">
        <v>1.25</v>
      </c>
      <c r="F16" s="97">
        <v>0.75</v>
      </c>
    </row>
    <row r="17" spans="1:6" x14ac:dyDescent="0.2">
      <c r="A17" s="35">
        <v>2024</v>
      </c>
      <c r="E17" s="97">
        <v>1.25</v>
      </c>
      <c r="F17" s="97">
        <v>0.75</v>
      </c>
    </row>
    <row r="18" spans="1:6" x14ac:dyDescent="0.2">
      <c r="A18" s="35">
        <v>2025</v>
      </c>
      <c r="E18" s="97">
        <v>1.25</v>
      </c>
      <c r="F18" s="97">
        <v>0.75</v>
      </c>
    </row>
    <row r="19" spans="1:6" x14ac:dyDescent="0.2">
      <c r="A19" s="35">
        <v>2026</v>
      </c>
      <c r="E19" s="97">
        <v>1.25</v>
      </c>
      <c r="F19" s="97">
        <v>0.75</v>
      </c>
    </row>
  </sheetData>
  <mergeCells count="1">
    <mergeCell ref="E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B1:T138"/>
  <sheetViews>
    <sheetView showGridLines="0" zoomScale="85" zoomScaleNormal="85" workbookViewId="0">
      <pane xSplit="1" ySplit="12" topLeftCell="B13" activePane="bottomRight" state="frozen"/>
      <selection activeCell="N72" sqref="N72"/>
      <selection pane="topRight" activeCell="N72" sqref="N72"/>
      <selection pane="bottomLeft" activeCell="N72" sqref="N72"/>
      <selection pane="bottomRight" activeCell="N72" sqref="N72"/>
    </sheetView>
  </sheetViews>
  <sheetFormatPr baseColWidth="10" defaultRowHeight="12.75" x14ac:dyDescent="0.2"/>
  <cols>
    <col min="1" max="1" width="2" customWidth="1"/>
    <col min="2" max="2" width="13.140625" bestFit="1" customWidth="1"/>
    <col min="3" max="3" width="29.85546875" bestFit="1" customWidth="1"/>
    <col min="4" max="4" width="14.140625" bestFit="1" customWidth="1"/>
    <col min="5" max="5" width="17.7109375" bestFit="1" customWidth="1"/>
    <col min="7" max="7" width="12.5703125" customWidth="1"/>
    <col min="8" max="8" width="13.5703125" bestFit="1" customWidth="1"/>
    <col min="9" max="9" width="2.5703125" customWidth="1"/>
    <col min="10" max="10" width="13.140625" bestFit="1" customWidth="1"/>
    <col min="11" max="11" width="29.85546875" bestFit="1" customWidth="1"/>
    <col min="12" max="12" width="11.5703125" bestFit="1" customWidth="1"/>
    <col min="13" max="13" width="17.7109375" bestFit="1" customWidth="1"/>
    <col min="15" max="15" width="2" customWidth="1"/>
    <col min="16" max="16" width="13.140625" bestFit="1" customWidth="1"/>
    <col min="17" max="17" width="29.85546875" bestFit="1" customWidth="1"/>
    <col min="18" max="18" width="11.5703125" bestFit="1" customWidth="1"/>
    <col min="19" max="19" width="17.7109375" bestFit="1" customWidth="1"/>
  </cols>
  <sheetData>
    <row r="1" spans="2:20" x14ac:dyDescent="0.2">
      <c r="B1" s="122" t="s">
        <v>48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P1" s="123" t="s">
        <v>51</v>
      </c>
      <c r="Q1" s="123"/>
      <c r="R1" s="123"/>
      <c r="S1" s="123"/>
      <c r="T1" s="123"/>
    </row>
    <row r="3" spans="2:20" x14ac:dyDescent="0.2">
      <c r="B3" s="122" t="s">
        <v>49</v>
      </c>
      <c r="C3" s="122"/>
      <c r="D3" s="122"/>
      <c r="E3" s="122"/>
      <c r="F3" s="122"/>
      <c r="G3" s="122"/>
      <c r="H3" s="122"/>
      <c r="J3" s="122" t="s">
        <v>50</v>
      </c>
      <c r="K3" s="122"/>
      <c r="L3" s="122"/>
      <c r="M3" s="122"/>
      <c r="N3" s="122"/>
      <c r="P3" s="122" t="s">
        <v>49</v>
      </c>
      <c r="Q3" s="122"/>
      <c r="R3" s="122"/>
      <c r="S3" s="122"/>
      <c r="T3" s="122"/>
    </row>
    <row r="5" spans="2:20" x14ac:dyDescent="0.2">
      <c r="C5" s="121" t="s">
        <v>33</v>
      </c>
      <c r="D5" s="121"/>
      <c r="E5" s="38">
        <f>+'Calculette PM'!$B$5</f>
        <v>2026</v>
      </c>
      <c r="K5" s="121" t="s">
        <v>33</v>
      </c>
      <c r="L5" s="121"/>
      <c r="M5" s="38">
        <f>+'Calculette PM'!$B$5</f>
        <v>2026</v>
      </c>
      <c r="Q5" s="121" t="s">
        <v>33</v>
      </c>
      <c r="R5" s="121"/>
      <c r="S5" s="38">
        <f>+'Calculette PM'!$B$5</f>
        <v>2026</v>
      </c>
    </row>
    <row r="6" spans="2:20" x14ac:dyDescent="0.2">
      <c r="C6" s="121" t="s">
        <v>34</v>
      </c>
      <c r="D6" s="121"/>
      <c r="E6" s="38" t="str">
        <f>+'Calculette PM'!$B$7</f>
        <v>Société de capitaux et coopérative</v>
      </c>
      <c r="F6" s="39"/>
      <c r="K6" s="121" t="s">
        <v>34</v>
      </c>
      <c r="L6" s="121"/>
      <c r="M6" s="38" t="str">
        <f>+'Calculette PM'!$B$7</f>
        <v>Société de capitaux et coopérative</v>
      </c>
      <c r="N6" s="39"/>
      <c r="Q6" s="121" t="s">
        <v>34</v>
      </c>
      <c r="R6" s="121"/>
      <c r="S6" s="38" t="str">
        <f>+'Calculette PM'!$B$7</f>
        <v>Société de capitaux et coopérative</v>
      </c>
    </row>
    <row r="7" spans="2:20" x14ac:dyDescent="0.2">
      <c r="C7" s="121" t="s">
        <v>38</v>
      </c>
      <c r="D7" s="121"/>
      <c r="E7" s="36">
        <f>+'Calculette PM'!$B$9</f>
        <v>0</v>
      </c>
      <c r="K7" s="121" t="s">
        <v>46</v>
      </c>
      <c r="L7" s="121"/>
      <c r="M7" s="36">
        <f>+'Calculette PM'!B21</f>
        <v>0</v>
      </c>
      <c r="Q7" s="121" t="s">
        <v>38</v>
      </c>
      <c r="R7" s="121"/>
      <c r="S7" s="36">
        <f>+$E$7</f>
        <v>0</v>
      </c>
    </row>
    <row r="8" spans="2:20" x14ac:dyDescent="0.2">
      <c r="C8" s="121" t="s">
        <v>39</v>
      </c>
      <c r="D8" s="121"/>
      <c r="E8" s="36">
        <f>+'Calculette PM'!$B$11</f>
        <v>0</v>
      </c>
      <c r="K8" s="121" t="s">
        <v>47</v>
      </c>
      <c r="L8" s="121"/>
      <c r="M8" s="36">
        <f>SUM($M$13:$M$104)</f>
        <v>0</v>
      </c>
      <c r="Q8" s="121" t="s">
        <v>39</v>
      </c>
      <c r="R8" s="121"/>
      <c r="S8" s="36">
        <f>+$E$8</f>
        <v>0</v>
      </c>
    </row>
    <row r="9" spans="2:20" x14ac:dyDescent="0.2">
      <c r="C9" s="121" t="s">
        <v>41</v>
      </c>
      <c r="D9" s="121"/>
      <c r="E9" s="36">
        <f>+MROUND(E8*E10,0.05)</f>
        <v>0</v>
      </c>
      <c r="K9" s="121" t="s">
        <v>40</v>
      </c>
      <c r="L9" s="121"/>
      <c r="M9" s="37">
        <f>+IFERROR(M8/M7,0)</f>
        <v>0</v>
      </c>
      <c r="Q9" s="121" t="s">
        <v>41</v>
      </c>
      <c r="R9" s="121"/>
      <c r="S9" s="36">
        <f>+MROUND(S8*S10,0.05)</f>
        <v>0</v>
      </c>
    </row>
    <row r="10" spans="2:20" x14ac:dyDescent="0.2">
      <c r="C10" s="121" t="s">
        <v>40</v>
      </c>
      <c r="D10" s="121"/>
      <c r="E10" s="37">
        <f>IFERROR(SUM($H$13:$H$176)/E7,0)</f>
        <v>0</v>
      </c>
      <c r="Q10" s="121" t="s">
        <v>40</v>
      </c>
      <c r="R10" s="121"/>
      <c r="S10" s="40">
        <f>IFERROR(SUM($S$13:$S$101)/S7,0)</f>
        <v>0</v>
      </c>
    </row>
    <row r="12" spans="2:20" ht="26.25" thickBot="1" x14ac:dyDescent="0.25">
      <c r="B12" s="16" t="s">
        <v>33</v>
      </c>
      <c r="C12" s="17" t="s">
        <v>34</v>
      </c>
      <c r="D12" s="17" t="s">
        <v>35</v>
      </c>
      <c r="E12" s="17" t="s">
        <v>36</v>
      </c>
      <c r="F12" s="17" t="s">
        <v>31</v>
      </c>
      <c r="G12" s="16" t="s">
        <v>42</v>
      </c>
      <c r="H12" s="15" t="s">
        <v>52</v>
      </c>
      <c r="J12" s="16" t="s">
        <v>33</v>
      </c>
      <c r="K12" s="17" t="s">
        <v>34</v>
      </c>
      <c r="L12" s="17" t="s">
        <v>31</v>
      </c>
      <c r="M12" s="16" t="s">
        <v>37</v>
      </c>
      <c r="P12" s="16" t="s">
        <v>33</v>
      </c>
      <c r="Q12" s="17" t="s">
        <v>34</v>
      </c>
      <c r="R12" s="17" t="s">
        <v>31</v>
      </c>
      <c r="S12" s="16" t="s">
        <v>37</v>
      </c>
    </row>
    <row r="13" spans="2:20" x14ac:dyDescent="0.2">
      <c r="B13" s="59">
        <v>2010</v>
      </c>
      <c r="C13" s="60" t="s">
        <v>12</v>
      </c>
      <c r="D13" s="61">
        <v>0</v>
      </c>
      <c r="E13" s="61">
        <v>10000</v>
      </c>
      <c r="F13" s="62">
        <v>0.06</v>
      </c>
      <c r="G13" s="61">
        <f>IF(AND(B13=$E$5,C13=$E$6),IF($E$7&gt;E13,E13,$E$7),0)</f>
        <v>0</v>
      </c>
      <c r="H13" s="61">
        <f>+G13*F13</f>
        <v>0</v>
      </c>
      <c r="J13" s="59">
        <v>2010</v>
      </c>
      <c r="K13" s="60" t="s">
        <v>12</v>
      </c>
      <c r="L13" s="62">
        <v>2.5000000000000001E-3</v>
      </c>
      <c r="M13" s="61">
        <f t="shared" ref="M13:M57" si="0">IF(AND(J13=$E$5,K13=$E$6),$M$7*L13,0)</f>
        <v>0</v>
      </c>
      <c r="P13" s="59">
        <v>2010</v>
      </c>
      <c r="Q13" s="60" t="s">
        <v>12</v>
      </c>
      <c r="R13" s="62">
        <v>8.5000000000000006E-2</v>
      </c>
      <c r="S13" s="61">
        <f>IF(AND(P13=$S$5,Q13=$S$6),$S$7*R13,0)</f>
        <v>0</v>
      </c>
    </row>
    <row r="14" spans="2:20" x14ac:dyDescent="0.2">
      <c r="B14" s="31">
        <v>2010</v>
      </c>
      <c r="C14" s="32" t="s">
        <v>12</v>
      </c>
      <c r="D14" s="33">
        <f>+E13</f>
        <v>10000</v>
      </c>
      <c r="E14" s="33">
        <v>20000</v>
      </c>
      <c r="F14" s="34">
        <v>0.1</v>
      </c>
      <c r="G14" s="33">
        <f>IF(AND(B14=$E$5,C14=$E$6),IF($E$7&gt;E14,E14-D14,IF($E$7&lt;D14,0,$E$7-D14)),0)</f>
        <v>0</v>
      </c>
      <c r="H14" s="33">
        <f t="shared" ref="H14:H16" si="1">+G14*F14</f>
        <v>0</v>
      </c>
      <c r="J14" s="31">
        <v>2010</v>
      </c>
      <c r="K14" s="32" t="s">
        <v>13</v>
      </c>
      <c r="L14" s="34">
        <v>2.5000000000000001E-3</v>
      </c>
      <c r="M14" s="33">
        <f t="shared" si="0"/>
        <v>0</v>
      </c>
      <c r="P14" s="31">
        <v>2010</v>
      </c>
      <c r="Q14" s="32" t="s">
        <v>13</v>
      </c>
      <c r="R14" s="34">
        <v>4.2500000000000003E-2</v>
      </c>
      <c r="S14" s="33">
        <f>IF($S$8&lt;5001,0,IF(AND(P14=$S$5,Q14=$S$6),$S$7*R14,0))</f>
        <v>0</v>
      </c>
    </row>
    <row r="15" spans="2:20" ht="13.5" thickBot="1" x14ac:dyDescent="0.25">
      <c r="B15" s="31">
        <v>2010</v>
      </c>
      <c r="C15" s="32" t="s">
        <v>12</v>
      </c>
      <c r="D15" s="33">
        <f>+E14</f>
        <v>20000</v>
      </c>
      <c r="E15" s="33">
        <v>40000</v>
      </c>
      <c r="F15" s="34">
        <v>0.12</v>
      </c>
      <c r="G15" s="33">
        <f>IF(AND(B15=$E$5,C15=$E$6),IF($E$7&gt;E15,E15-D15,IF($E$7&lt;D15,0,$E$7-D15)),0)</f>
        <v>0</v>
      </c>
      <c r="H15" s="33">
        <f t="shared" si="1"/>
        <v>0</v>
      </c>
      <c r="J15" s="63">
        <v>2010</v>
      </c>
      <c r="K15" s="64" t="s">
        <v>3</v>
      </c>
      <c r="L15" s="66">
        <v>5.0000000000000004E-6</v>
      </c>
      <c r="M15" s="65">
        <f t="shared" si="0"/>
        <v>0</v>
      </c>
      <c r="P15" s="63">
        <v>2010</v>
      </c>
      <c r="Q15" s="64" t="s">
        <v>3</v>
      </c>
      <c r="R15" s="66">
        <v>8.5000000000000006E-2</v>
      </c>
      <c r="S15" s="65">
        <f t="shared" ref="S15:S57" si="2">IF(AND(P15=$S$5,Q15=$S$6),$S$7*R15,0)</f>
        <v>0</v>
      </c>
    </row>
    <row r="16" spans="2:20" ht="13.5" thickBot="1" x14ac:dyDescent="0.25">
      <c r="B16" s="63">
        <v>2010</v>
      </c>
      <c r="C16" s="64" t="s">
        <v>12</v>
      </c>
      <c r="D16" s="65">
        <f>+E15</f>
        <v>40000</v>
      </c>
      <c r="E16" s="65">
        <v>999999999999</v>
      </c>
      <c r="F16" s="66">
        <v>0.1</v>
      </c>
      <c r="G16" s="65">
        <f>IF(AND(B16=$E$5,C16=$E$6),IF($E$7&gt;D16,$E$7-D16,0),0)</f>
        <v>0</v>
      </c>
      <c r="H16" s="65">
        <f t="shared" si="1"/>
        <v>0</v>
      </c>
      <c r="J16" s="22">
        <v>2011</v>
      </c>
      <c r="K16" s="23" t="s">
        <v>12</v>
      </c>
      <c r="L16" s="25">
        <v>2.5000000000000001E-3</v>
      </c>
      <c r="M16" s="24">
        <f t="shared" si="0"/>
        <v>0</v>
      </c>
      <c r="P16" s="22">
        <v>2011</v>
      </c>
      <c r="Q16" s="23" t="s">
        <v>12</v>
      </c>
      <c r="R16" s="25">
        <v>8.5000000000000006E-2</v>
      </c>
      <c r="S16" s="24">
        <f t="shared" si="2"/>
        <v>0</v>
      </c>
    </row>
    <row r="17" spans="2:19" x14ac:dyDescent="0.2">
      <c r="B17" s="59">
        <v>2010</v>
      </c>
      <c r="C17" s="60" t="s">
        <v>13</v>
      </c>
      <c r="D17" s="61">
        <v>0</v>
      </c>
      <c r="E17" s="61">
        <v>10000</v>
      </c>
      <c r="F17" s="62">
        <v>0.06</v>
      </c>
      <c r="G17" s="61">
        <f>IF(AND(B17=$E$5,C17=$E$6),IF($E$7&gt;E17,E17,$E$7),0)</f>
        <v>0</v>
      </c>
      <c r="H17" s="61">
        <f>+G17*F17</f>
        <v>0</v>
      </c>
      <c r="J17" s="26">
        <v>2011</v>
      </c>
      <c r="K17" s="27" t="s">
        <v>13</v>
      </c>
      <c r="L17" s="29">
        <v>2.5000000000000001E-3</v>
      </c>
      <c r="M17" s="28">
        <f t="shared" si="0"/>
        <v>0</v>
      </c>
      <c r="P17" s="26">
        <v>2011</v>
      </c>
      <c r="Q17" s="27" t="s">
        <v>13</v>
      </c>
      <c r="R17" s="29">
        <v>4.2500000000000003E-2</v>
      </c>
      <c r="S17" s="28">
        <f>IF($S$8&lt;5001,0,IF(AND(P17=$S$5,Q17=$S$6),$S$7*R17,0))</f>
        <v>0</v>
      </c>
    </row>
    <row r="18" spans="2:19" ht="13.5" thickBot="1" x14ac:dyDescent="0.25">
      <c r="B18" s="31">
        <v>2010</v>
      </c>
      <c r="C18" s="32" t="s">
        <v>13</v>
      </c>
      <c r="D18" s="33">
        <f>+E17</f>
        <v>10000</v>
      </c>
      <c r="E18" s="33">
        <v>20000</v>
      </c>
      <c r="F18" s="34">
        <v>0.1</v>
      </c>
      <c r="G18" s="33">
        <f>IF(AND(B18=$E$5,C18=$E$6),IF($E$7&gt;E18,E18-D18,IF($E$7&lt;D18,0,$E$7-D18)),0)</f>
        <v>0</v>
      </c>
      <c r="H18" s="33">
        <f t="shared" ref="H18:H20" si="3">+G18*F18</f>
        <v>0</v>
      </c>
      <c r="J18" s="18">
        <v>2011</v>
      </c>
      <c r="K18" s="19" t="s">
        <v>3</v>
      </c>
      <c r="L18" s="21">
        <v>5.0000000000000004E-6</v>
      </c>
      <c r="M18" s="20">
        <f t="shared" si="0"/>
        <v>0</v>
      </c>
      <c r="P18" s="18">
        <v>2011</v>
      </c>
      <c r="Q18" s="19" t="s">
        <v>3</v>
      </c>
      <c r="R18" s="21">
        <v>8.5000000000000006E-2</v>
      </c>
      <c r="S18" s="20">
        <f t="shared" si="2"/>
        <v>0</v>
      </c>
    </row>
    <row r="19" spans="2:19" x14ac:dyDescent="0.2">
      <c r="B19" s="31">
        <v>2010</v>
      </c>
      <c r="C19" s="32" t="s">
        <v>13</v>
      </c>
      <c r="D19" s="33">
        <f>+E18</f>
        <v>20000</v>
      </c>
      <c r="E19" s="33">
        <v>40000</v>
      </c>
      <c r="F19" s="34">
        <v>0.12</v>
      </c>
      <c r="G19" s="33">
        <f>IF(AND(B19=$E$5,C19=$E$6),IF($E$7&gt;E19,E19-D19,IF($E$7&lt;D19,0,$E$7-D19)),0)</f>
        <v>0</v>
      </c>
      <c r="H19" s="33">
        <f t="shared" si="3"/>
        <v>0</v>
      </c>
      <c r="J19" s="59">
        <v>2012</v>
      </c>
      <c r="K19" s="60" t="s">
        <v>12</v>
      </c>
      <c r="L19" s="62">
        <v>2.5000000000000001E-3</v>
      </c>
      <c r="M19" s="61">
        <f t="shared" si="0"/>
        <v>0</v>
      </c>
      <c r="P19" s="59">
        <v>2012</v>
      </c>
      <c r="Q19" s="60" t="s">
        <v>12</v>
      </c>
      <c r="R19" s="62">
        <v>8.5000000000000006E-2</v>
      </c>
      <c r="S19" s="61">
        <f t="shared" si="2"/>
        <v>0</v>
      </c>
    </row>
    <row r="20" spans="2:19" ht="13.5" thickBot="1" x14ac:dyDescent="0.25">
      <c r="B20" s="63">
        <v>2010</v>
      </c>
      <c r="C20" s="64" t="s">
        <v>13</v>
      </c>
      <c r="D20" s="65">
        <f>+E19</f>
        <v>40000</v>
      </c>
      <c r="E20" s="65">
        <v>999999999999</v>
      </c>
      <c r="F20" s="66">
        <v>0.1</v>
      </c>
      <c r="G20" s="65">
        <f>IF(AND(B20=$E$5,C20=$E$6),IF($E$7&gt;D20,$E$7-D20,0),0)</f>
        <v>0</v>
      </c>
      <c r="H20" s="65">
        <f t="shared" si="3"/>
        <v>0</v>
      </c>
      <c r="J20" s="31">
        <v>2012</v>
      </c>
      <c r="K20" s="32" t="s">
        <v>13</v>
      </c>
      <c r="L20" s="34">
        <v>2.5000000000000001E-3</v>
      </c>
      <c r="M20" s="33">
        <f t="shared" si="0"/>
        <v>0</v>
      </c>
      <c r="P20" s="31">
        <v>2012</v>
      </c>
      <c r="Q20" s="32" t="s">
        <v>13</v>
      </c>
      <c r="R20" s="34">
        <v>4.2500000000000003E-2</v>
      </c>
      <c r="S20" s="33">
        <f>IF($S$8&lt;5001,0,IF(AND(P20=$S$5,Q20=$S$6),$S$7*R20,0))</f>
        <v>0</v>
      </c>
    </row>
    <row r="21" spans="2:19" ht="13.5" thickBot="1" x14ac:dyDescent="0.25">
      <c r="B21" s="59">
        <v>2010</v>
      </c>
      <c r="C21" s="60" t="s">
        <v>3</v>
      </c>
      <c r="D21" s="61">
        <v>0</v>
      </c>
      <c r="E21" s="61">
        <v>10000</v>
      </c>
      <c r="F21" s="62">
        <v>0</v>
      </c>
      <c r="G21" s="61">
        <f>IF(AND(B21=$E$5,C21=$E$6),IF($E$7&gt;E21,E21,$E$7),0)</f>
        <v>0</v>
      </c>
      <c r="H21" s="61">
        <f>+G21*F21</f>
        <v>0</v>
      </c>
      <c r="J21" s="63">
        <v>2012</v>
      </c>
      <c r="K21" s="64" t="s">
        <v>3</v>
      </c>
      <c r="L21" s="66">
        <v>5.0000000000000004E-6</v>
      </c>
      <c r="M21" s="65">
        <f t="shared" si="0"/>
        <v>0</v>
      </c>
      <c r="P21" s="63">
        <v>2012</v>
      </c>
      <c r="Q21" s="64" t="s">
        <v>3</v>
      </c>
      <c r="R21" s="66">
        <v>8.5000000000000006E-2</v>
      </c>
      <c r="S21" s="65">
        <f t="shared" si="2"/>
        <v>0</v>
      </c>
    </row>
    <row r="22" spans="2:19" x14ac:dyDescent="0.2">
      <c r="B22" s="31">
        <v>2010</v>
      </c>
      <c r="C22" s="32" t="s">
        <v>3</v>
      </c>
      <c r="D22" s="33">
        <f>+E21</f>
        <v>10000</v>
      </c>
      <c r="E22" s="33">
        <v>20000</v>
      </c>
      <c r="F22" s="34">
        <v>0</v>
      </c>
      <c r="G22" s="33">
        <f>IF(AND(B22=$E$5,C22=$E$6),IF($E$7&gt;E22,E22-D22,IF($E$7&lt;D22,0,$E$7-D22)),0)</f>
        <v>0</v>
      </c>
      <c r="H22" s="33">
        <f t="shared" ref="H22:H24" si="4">+G22*F22</f>
        <v>0</v>
      </c>
      <c r="J22" s="22">
        <v>2013</v>
      </c>
      <c r="K22" s="23" t="s">
        <v>12</v>
      </c>
      <c r="L22" s="25">
        <v>2.5000000000000001E-3</v>
      </c>
      <c r="M22" s="24">
        <f t="shared" si="0"/>
        <v>0</v>
      </c>
      <c r="P22" s="22">
        <v>2013</v>
      </c>
      <c r="Q22" s="23" t="s">
        <v>12</v>
      </c>
      <c r="R22" s="25">
        <v>8.5000000000000006E-2</v>
      </c>
      <c r="S22" s="24">
        <f t="shared" si="2"/>
        <v>0</v>
      </c>
    </row>
    <row r="23" spans="2:19" x14ac:dyDescent="0.2">
      <c r="B23" s="31">
        <v>2010</v>
      </c>
      <c r="C23" s="32" t="s">
        <v>3</v>
      </c>
      <c r="D23" s="33">
        <f>+E22</f>
        <v>20000</v>
      </c>
      <c r="E23" s="33">
        <v>40000</v>
      </c>
      <c r="F23" s="34">
        <v>0</v>
      </c>
      <c r="G23" s="33">
        <f>IF(AND(B23=$E$5,C23=$E$6),IF($E$7&gt;E23,E23-D23,IF($E$7&lt;D23,0,$E$7-D23)),0)</f>
        <v>0</v>
      </c>
      <c r="H23" s="33">
        <f t="shared" si="4"/>
        <v>0</v>
      </c>
      <c r="J23" s="26">
        <v>2013</v>
      </c>
      <c r="K23" s="27" t="s">
        <v>13</v>
      </c>
      <c r="L23" s="29">
        <v>2.5000000000000001E-3</v>
      </c>
      <c r="M23" s="28">
        <f t="shared" si="0"/>
        <v>0</v>
      </c>
      <c r="P23" s="26">
        <v>2013</v>
      </c>
      <c r="Q23" s="27" t="s">
        <v>13</v>
      </c>
      <c r="R23" s="29">
        <v>4.2500000000000003E-2</v>
      </c>
      <c r="S23" s="28">
        <f>IF($S$8&lt;5001,0,IF(AND(P23=$S$5,Q23=$S$6),$S$7*R23,0))</f>
        <v>0</v>
      </c>
    </row>
    <row r="24" spans="2:19" ht="13.5" thickBot="1" x14ac:dyDescent="0.25">
      <c r="B24" s="63">
        <v>2010</v>
      </c>
      <c r="C24" s="64" t="s">
        <v>3</v>
      </c>
      <c r="D24" s="65">
        <f>+E23</f>
        <v>40000</v>
      </c>
      <c r="E24" s="65">
        <v>999999999999</v>
      </c>
      <c r="F24" s="66">
        <v>0</v>
      </c>
      <c r="G24" s="65">
        <f>IF(AND(B24=$E$5,C24=$E$6),IF($E$7&gt;D24,$E$7-D24,0),0)</f>
        <v>0</v>
      </c>
      <c r="H24" s="65">
        <f t="shared" si="4"/>
        <v>0</v>
      </c>
      <c r="J24" s="18">
        <v>2013</v>
      </c>
      <c r="K24" s="19" t="s">
        <v>3</v>
      </c>
      <c r="L24" s="21">
        <v>5.0000000000000004E-6</v>
      </c>
      <c r="M24" s="20">
        <f t="shared" si="0"/>
        <v>0</v>
      </c>
      <c r="P24" s="18">
        <v>2013</v>
      </c>
      <c r="Q24" s="19" t="s">
        <v>3</v>
      </c>
      <c r="R24" s="21">
        <v>8.5000000000000006E-2</v>
      </c>
      <c r="S24" s="20">
        <f t="shared" si="2"/>
        <v>0</v>
      </c>
    </row>
    <row r="25" spans="2:19" x14ac:dyDescent="0.2">
      <c r="B25" s="67">
        <v>2011</v>
      </c>
      <c r="C25" s="68" t="s">
        <v>12</v>
      </c>
      <c r="D25" s="69">
        <v>0</v>
      </c>
      <c r="E25" s="69">
        <v>10000</v>
      </c>
      <c r="F25" s="70">
        <v>0.06</v>
      </c>
      <c r="G25" s="69">
        <f>IF(AND(B25=$E$5,C25=$E$6),IF($E$7&gt;E25,E25,$E$7),0)</f>
        <v>0</v>
      </c>
      <c r="H25" s="69">
        <f>+G25*F25</f>
        <v>0</v>
      </c>
      <c r="J25" s="59">
        <v>2014</v>
      </c>
      <c r="K25" s="60" t="s">
        <v>12</v>
      </c>
      <c r="L25" s="62">
        <v>2.5000000000000001E-3</v>
      </c>
      <c r="M25" s="61">
        <f t="shared" si="0"/>
        <v>0</v>
      </c>
      <c r="P25" s="59">
        <v>2014</v>
      </c>
      <c r="Q25" s="60" t="s">
        <v>12</v>
      </c>
      <c r="R25" s="62">
        <v>8.5000000000000006E-2</v>
      </c>
      <c r="S25" s="61">
        <f t="shared" si="2"/>
        <v>0</v>
      </c>
    </row>
    <row r="26" spans="2:19" x14ac:dyDescent="0.2">
      <c r="B26" s="26">
        <v>2011</v>
      </c>
      <c r="C26" s="27" t="s">
        <v>12</v>
      </c>
      <c r="D26" s="28">
        <f>+E25</f>
        <v>10000</v>
      </c>
      <c r="E26" s="28">
        <v>20000</v>
      </c>
      <c r="F26" s="29">
        <v>0.1</v>
      </c>
      <c r="G26" s="28">
        <f>IF(AND(B26=$E$5,C26=$E$6),IF($E$7&gt;E26,E26-D26,IF($E$7&lt;D26,0,$E$7-D26)),0)</f>
        <v>0</v>
      </c>
      <c r="H26" s="28">
        <f t="shared" ref="H26:H28" si="5">+G26*F26</f>
        <v>0</v>
      </c>
      <c r="J26" s="31">
        <v>2014</v>
      </c>
      <c r="K26" s="32" t="s">
        <v>13</v>
      </c>
      <c r="L26" s="34">
        <v>2.5000000000000001E-3</v>
      </c>
      <c r="M26" s="33">
        <f t="shared" si="0"/>
        <v>0</v>
      </c>
      <c r="P26" s="31">
        <v>2014</v>
      </c>
      <c r="Q26" s="32" t="s">
        <v>13</v>
      </c>
      <c r="R26" s="34">
        <v>4.2500000000000003E-2</v>
      </c>
      <c r="S26" s="33">
        <f>IF($S$8&lt;5001,0,IF(AND(P26=$S$5,Q26=$S$6),$S$7*R26,0))</f>
        <v>0</v>
      </c>
    </row>
    <row r="27" spans="2:19" ht="13.5" thickBot="1" x14ac:dyDescent="0.25">
      <c r="B27" s="26">
        <v>2011</v>
      </c>
      <c r="C27" s="27" t="s">
        <v>12</v>
      </c>
      <c r="D27" s="28">
        <f>+E26</f>
        <v>20000</v>
      </c>
      <c r="E27" s="28">
        <v>40000</v>
      </c>
      <c r="F27" s="29">
        <v>0.12</v>
      </c>
      <c r="G27" s="28">
        <f>IF(AND(B27=$E$5,C27=$E$6),IF($E$7&gt;E27,E27-D27,IF($E$7&lt;D27,0,$E$7-D27)),0)</f>
        <v>0</v>
      </c>
      <c r="H27" s="28">
        <f t="shared" si="5"/>
        <v>0</v>
      </c>
      <c r="J27" s="63">
        <v>2014</v>
      </c>
      <c r="K27" s="64" t="s">
        <v>3</v>
      </c>
      <c r="L27" s="66">
        <v>5.0000000000000004E-6</v>
      </c>
      <c r="M27" s="65">
        <f t="shared" si="0"/>
        <v>0</v>
      </c>
      <c r="P27" s="63">
        <v>2014</v>
      </c>
      <c r="Q27" s="64" t="s">
        <v>3</v>
      </c>
      <c r="R27" s="66">
        <v>8.5000000000000006E-2</v>
      </c>
      <c r="S27" s="65">
        <f t="shared" si="2"/>
        <v>0</v>
      </c>
    </row>
    <row r="28" spans="2:19" ht="13.5" thickBot="1" x14ac:dyDescent="0.25">
      <c r="B28" s="71">
        <v>2011</v>
      </c>
      <c r="C28" s="72" t="s">
        <v>12</v>
      </c>
      <c r="D28" s="73">
        <f>+E27</f>
        <v>40000</v>
      </c>
      <c r="E28" s="73">
        <v>999999999999</v>
      </c>
      <c r="F28" s="74">
        <v>0.1</v>
      </c>
      <c r="G28" s="73">
        <f>IF(AND(B28=$E$5,C28=$E$6),IF($E$7&gt;D28,$E$7-D28,0),0)</f>
        <v>0</v>
      </c>
      <c r="H28" s="73">
        <f t="shared" si="5"/>
        <v>0</v>
      </c>
      <c r="J28" s="22">
        <v>2015</v>
      </c>
      <c r="K28" s="23" t="s">
        <v>12</v>
      </c>
      <c r="L28" s="25">
        <v>2.5000000000000001E-3</v>
      </c>
      <c r="M28" s="24">
        <f t="shared" si="0"/>
        <v>0</v>
      </c>
      <c r="P28" s="22">
        <v>2015</v>
      </c>
      <c r="Q28" s="23" t="s">
        <v>12</v>
      </c>
      <c r="R28" s="25">
        <v>8.5000000000000006E-2</v>
      </c>
      <c r="S28" s="24">
        <f t="shared" si="2"/>
        <v>0</v>
      </c>
    </row>
    <row r="29" spans="2:19" x14ac:dyDescent="0.2">
      <c r="B29" s="67">
        <v>2011</v>
      </c>
      <c r="C29" s="68" t="s">
        <v>13</v>
      </c>
      <c r="D29" s="69">
        <v>0</v>
      </c>
      <c r="E29" s="69">
        <v>10000</v>
      </c>
      <c r="F29" s="70">
        <v>0.06</v>
      </c>
      <c r="G29" s="69">
        <f>IF(AND(B29=$E$5,C29=$E$6),IF($E$7&gt;E29,E29,$E$7),0)</f>
        <v>0</v>
      </c>
      <c r="H29" s="69">
        <f>+G29*F29</f>
        <v>0</v>
      </c>
      <c r="J29" s="26">
        <v>2015</v>
      </c>
      <c r="K29" s="27" t="s">
        <v>13</v>
      </c>
      <c r="L29" s="29">
        <v>2.5000000000000001E-3</v>
      </c>
      <c r="M29" s="28">
        <f t="shared" si="0"/>
        <v>0</v>
      </c>
      <c r="P29" s="26">
        <v>2015</v>
      </c>
      <c r="Q29" s="27" t="s">
        <v>13</v>
      </c>
      <c r="R29" s="29">
        <v>4.2500000000000003E-2</v>
      </c>
      <c r="S29" s="28">
        <f>IF($S$8&lt;5001,0,IF(AND(P29=$S$5,Q29=$S$6),$S$7*R29,0))</f>
        <v>0</v>
      </c>
    </row>
    <row r="30" spans="2:19" ht="13.5" thickBot="1" x14ac:dyDescent="0.25">
      <c r="B30" s="26">
        <v>2011</v>
      </c>
      <c r="C30" s="27" t="s">
        <v>13</v>
      </c>
      <c r="D30" s="28">
        <f>+E29</f>
        <v>10000</v>
      </c>
      <c r="E30" s="28">
        <v>20000</v>
      </c>
      <c r="F30" s="29">
        <v>0.1</v>
      </c>
      <c r="G30" s="28">
        <f>IF(AND(B30=$E$5,C30=$E$6),IF($E$7&gt;E30,E30-D30,IF($E$7&lt;D30,0,$E$7-D30)),0)</f>
        <v>0</v>
      </c>
      <c r="H30" s="28">
        <f t="shared" ref="H30:H32" si="6">+G30*F30</f>
        <v>0</v>
      </c>
      <c r="J30" s="18">
        <v>2015</v>
      </c>
      <c r="K30" s="19" t="s">
        <v>3</v>
      </c>
      <c r="L30" s="21">
        <v>5.0000000000000004E-6</v>
      </c>
      <c r="M30" s="20">
        <f t="shared" si="0"/>
        <v>0</v>
      </c>
      <c r="P30" s="18">
        <v>2015</v>
      </c>
      <c r="Q30" s="19" t="s">
        <v>3</v>
      </c>
      <c r="R30" s="21">
        <v>8.5000000000000006E-2</v>
      </c>
      <c r="S30" s="20">
        <f t="shared" si="2"/>
        <v>0</v>
      </c>
    </row>
    <row r="31" spans="2:19" x14ac:dyDescent="0.2">
      <c r="B31" s="26">
        <v>2011</v>
      </c>
      <c r="C31" s="27" t="s">
        <v>13</v>
      </c>
      <c r="D31" s="28">
        <f>+E30</f>
        <v>20000</v>
      </c>
      <c r="E31" s="28">
        <v>40000</v>
      </c>
      <c r="F31" s="29">
        <v>0.12</v>
      </c>
      <c r="G31" s="28">
        <f>IF(AND(B31=$E$5,C31=$E$6),IF($E$7&gt;E31,E31-D31,IF($E$7&lt;D31,0,$E$7-D31)),0)</f>
        <v>0</v>
      </c>
      <c r="H31" s="28">
        <f t="shared" si="6"/>
        <v>0</v>
      </c>
      <c r="J31" s="59">
        <v>2016</v>
      </c>
      <c r="K31" s="60" t="s">
        <v>12</v>
      </c>
      <c r="L31" s="62">
        <v>2.5000000000000001E-3</v>
      </c>
      <c r="M31" s="61">
        <f t="shared" si="0"/>
        <v>0</v>
      </c>
      <c r="P31" s="59">
        <v>2016</v>
      </c>
      <c r="Q31" s="60" t="s">
        <v>12</v>
      </c>
      <c r="R31" s="62">
        <v>8.5000000000000006E-2</v>
      </c>
      <c r="S31" s="61">
        <f t="shared" si="2"/>
        <v>0</v>
      </c>
    </row>
    <row r="32" spans="2:19" ht="13.5" thickBot="1" x14ac:dyDescent="0.25">
      <c r="B32" s="71">
        <v>2011</v>
      </c>
      <c r="C32" s="72" t="s">
        <v>13</v>
      </c>
      <c r="D32" s="73">
        <f>+E31</f>
        <v>40000</v>
      </c>
      <c r="E32" s="73">
        <v>999999999999</v>
      </c>
      <c r="F32" s="74">
        <v>0.1</v>
      </c>
      <c r="G32" s="73">
        <f>IF(AND(B32=$E$5,C32=$E$6),IF($E$7&gt;D32,$E$7-D32,0),0)</f>
        <v>0</v>
      </c>
      <c r="H32" s="73">
        <f t="shared" si="6"/>
        <v>0</v>
      </c>
      <c r="J32" s="31">
        <v>2016</v>
      </c>
      <c r="K32" s="32" t="s">
        <v>13</v>
      </c>
      <c r="L32" s="34">
        <v>2.5000000000000001E-3</v>
      </c>
      <c r="M32" s="33">
        <f t="shared" si="0"/>
        <v>0</v>
      </c>
      <c r="P32" s="31">
        <v>2016</v>
      </c>
      <c r="Q32" s="32" t="s">
        <v>13</v>
      </c>
      <c r="R32" s="34">
        <v>4.2500000000000003E-2</v>
      </c>
      <c r="S32" s="33">
        <f>IF($S$8&lt;5001,0,IF(AND(P32=$S$5,Q32=$S$6),$S$7*R32,0))</f>
        <v>0</v>
      </c>
    </row>
    <row r="33" spans="2:19" ht="13.5" thickBot="1" x14ac:dyDescent="0.25">
      <c r="B33" s="67">
        <v>2011</v>
      </c>
      <c r="C33" s="68" t="s">
        <v>3</v>
      </c>
      <c r="D33" s="69">
        <v>0</v>
      </c>
      <c r="E33" s="69">
        <v>10000</v>
      </c>
      <c r="F33" s="70">
        <v>0</v>
      </c>
      <c r="G33" s="69">
        <f>IF(AND(B33=$E$5,C33=$E$6),IF($E$7&gt;E33,E33,$E$7),0)</f>
        <v>0</v>
      </c>
      <c r="H33" s="69">
        <f>+G33*F33</f>
        <v>0</v>
      </c>
      <c r="J33" s="63">
        <v>2016</v>
      </c>
      <c r="K33" s="64" t="s">
        <v>3</v>
      </c>
      <c r="L33" s="66">
        <v>5.0000000000000004E-6</v>
      </c>
      <c r="M33" s="65">
        <f t="shared" si="0"/>
        <v>0</v>
      </c>
      <c r="P33" s="63">
        <v>2016</v>
      </c>
      <c r="Q33" s="64" t="s">
        <v>3</v>
      </c>
      <c r="R33" s="66">
        <v>8.5000000000000006E-2</v>
      </c>
      <c r="S33" s="65">
        <f t="shared" si="2"/>
        <v>0</v>
      </c>
    </row>
    <row r="34" spans="2:19" x14ac:dyDescent="0.2">
      <c r="B34" s="26">
        <v>2011</v>
      </c>
      <c r="C34" s="27" t="s">
        <v>3</v>
      </c>
      <c r="D34" s="28">
        <f>+E33</f>
        <v>10000</v>
      </c>
      <c r="E34" s="28">
        <v>20000</v>
      </c>
      <c r="F34" s="29">
        <v>0</v>
      </c>
      <c r="G34" s="28">
        <f>IF(AND(B34=$E$5,C34=$E$6),IF($E$7&gt;E34,E34-D34,IF($E$7&lt;D34,0,$E$7-D34)),0)</f>
        <v>0</v>
      </c>
      <c r="H34" s="28">
        <f t="shared" ref="H34:H36" si="7">+G34*F34</f>
        <v>0</v>
      </c>
      <c r="J34" s="22">
        <v>2017</v>
      </c>
      <c r="K34" s="23" t="s">
        <v>12</v>
      </c>
      <c r="L34" s="25">
        <v>2.5000000000000001E-3</v>
      </c>
      <c r="M34" s="24">
        <f t="shared" si="0"/>
        <v>0</v>
      </c>
      <c r="P34" s="22">
        <v>2017</v>
      </c>
      <c r="Q34" s="23" t="s">
        <v>12</v>
      </c>
      <c r="R34" s="25">
        <v>8.5000000000000006E-2</v>
      </c>
      <c r="S34" s="24">
        <f t="shared" si="2"/>
        <v>0</v>
      </c>
    </row>
    <row r="35" spans="2:19" x14ac:dyDescent="0.2">
      <c r="B35" s="26">
        <v>2011</v>
      </c>
      <c r="C35" s="27" t="s">
        <v>3</v>
      </c>
      <c r="D35" s="28">
        <f>+E34</f>
        <v>20000</v>
      </c>
      <c r="E35" s="28">
        <v>40000</v>
      </c>
      <c r="F35" s="29">
        <v>0</v>
      </c>
      <c r="G35" s="28">
        <f>IF(AND(B35=$E$5,C35=$E$6),IF($E$7&gt;E35,E35-D35,IF($E$7&lt;D35,0,$E$7-D35)),0)</f>
        <v>0</v>
      </c>
      <c r="H35" s="28">
        <f t="shared" si="7"/>
        <v>0</v>
      </c>
      <c r="J35" s="26">
        <v>2017</v>
      </c>
      <c r="K35" s="27" t="s">
        <v>13</v>
      </c>
      <c r="L35" s="29">
        <v>2.5000000000000001E-3</v>
      </c>
      <c r="M35" s="28">
        <f t="shared" si="0"/>
        <v>0</v>
      </c>
      <c r="P35" s="26">
        <v>2017</v>
      </c>
      <c r="Q35" s="27" t="s">
        <v>13</v>
      </c>
      <c r="R35" s="29">
        <v>4.2500000000000003E-2</v>
      </c>
      <c r="S35" s="28">
        <f>IF($S$8&lt;5001,0,IF(AND(P35=$S$5,Q35=$S$6),$S$7*R35,0))</f>
        <v>0</v>
      </c>
    </row>
    <row r="36" spans="2:19" ht="13.5" thickBot="1" x14ac:dyDescent="0.25">
      <c r="B36" s="18">
        <v>2011</v>
      </c>
      <c r="C36" s="19" t="s">
        <v>3</v>
      </c>
      <c r="D36" s="20">
        <f>+E35</f>
        <v>40000</v>
      </c>
      <c r="E36" s="20">
        <v>999999999999</v>
      </c>
      <c r="F36" s="21">
        <v>0</v>
      </c>
      <c r="G36" s="20">
        <f>IF(AND(B36=$E$5,C36=$E$6),IF($E$7&gt;D36,$E$7-D36,0),0)</f>
        <v>0</v>
      </c>
      <c r="H36" s="20">
        <f t="shared" si="7"/>
        <v>0</v>
      </c>
      <c r="J36" s="18">
        <v>2017</v>
      </c>
      <c r="K36" s="19" t="s">
        <v>3</v>
      </c>
      <c r="L36" s="21">
        <v>5.0000000000000004E-6</v>
      </c>
      <c r="M36" s="20">
        <f t="shared" si="0"/>
        <v>0</v>
      </c>
      <c r="P36" s="18">
        <v>2017</v>
      </c>
      <c r="Q36" s="19" t="s">
        <v>3</v>
      </c>
      <c r="R36" s="21">
        <v>8.5000000000000006E-2</v>
      </c>
      <c r="S36" s="20">
        <f t="shared" si="2"/>
        <v>0</v>
      </c>
    </row>
    <row r="37" spans="2:19" x14ac:dyDescent="0.2">
      <c r="B37" s="59">
        <v>2012</v>
      </c>
      <c r="C37" s="60" t="s">
        <v>12</v>
      </c>
      <c r="D37" s="61">
        <v>0</v>
      </c>
      <c r="E37" s="61">
        <v>10000</v>
      </c>
      <c r="F37" s="62">
        <v>0.06</v>
      </c>
      <c r="G37" s="61">
        <f>IF(AND(B37=$E$5,C37=$E$6),IF($E$7&gt;E37,E37,$E$7),0)</f>
        <v>0</v>
      </c>
      <c r="H37" s="61">
        <f>+G37*F37</f>
        <v>0</v>
      </c>
      <c r="J37" s="59">
        <v>2018</v>
      </c>
      <c r="K37" s="60" t="s">
        <v>12</v>
      </c>
      <c r="L37" s="62">
        <v>2.5000000000000001E-3</v>
      </c>
      <c r="M37" s="61">
        <f t="shared" si="0"/>
        <v>0</v>
      </c>
      <c r="P37" s="59">
        <v>2018</v>
      </c>
      <c r="Q37" s="60" t="s">
        <v>12</v>
      </c>
      <c r="R37" s="62">
        <v>8.5000000000000006E-2</v>
      </c>
      <c r="S37" s="61">
        <f t="shared" si="2"/>
        <v>0</v>
      </c>
    </row>
    <row r="38" spans="2:19" x14ac:dyDescent="0.2">
      <c r="B38" s="31">
        <v>2012</v>
      </c>
      <c r="C38" s="32" t="s">
        <v>12</v>
      </c>
      <c r="D38" s="33">
        <f>+E37</f>
        <v>10000</v>
      </c>
      <c r="E38" s="33">
        <v>20000</v>
      </c>
      <c r="F38" s="34">
        <v>0.1</v>
      </c>
      <c r="G38" s="33">
        <f>IF(AND(B38=$E$5,C38=$E$6),IF($E$7&gt;E38,E38-D38,IF($E$7&lt;D38,0,$E$7-D38)),0)</f>
        <v>0</v>
      </c>
      <c r="H38" s="33">
        <f t="shared" ref="H38:H40" si="8">+G38*F38</f>
        <v>0</v>
      </c>
      <c r="J38" s="31">
        <v>2018</v>
      </c>
      <c r="K38" s="32" t="s">
        <v>13</v>
      </c>
      <c r="L38" s="34">
        <v>2.5000000000000001E-3</v>
      </c>
      <c r="M38" s="33">
        <f t="shared" si="0"/>
        <v>0</v>
      </c>
      <c r="P38" s="31">
        <v>2018</v>
      </c>
      <c r="Q38" s="32" t="s">
        <v>13</v>
      </c>
      <c r="R38" s="34">
        <v>4.2500000000000003E-2</v>
      </c>
      <c r="S38" s="33">
        <f>IF($S$8&lt;5001,0,IF(AND(P38=$S$5,Q38=$S$6),$S$7*R38,0))</f>
        <v>0</v>
      </c>
    </row>
    <row r="39" spans="2:19" ht="13.5" thickBot="1" x14ac:dyDescent="0.25">
      <c r="B39" s="31">
        <v>2012</v>
      </c>
      <c r="C39" s="32" t="s">
        <v>12</v>
      </c>
      <c r="D39" s="33">
        <f>+E38</f>
        <v>20000</v>
      </c>
      <c r="E39" s="33">
        <v>40000</v>
      </c>
      <c r="F39" s="34">
        <v>0.1</v>
      </c>
      <c r="G39" s="33">
        <f>IF(AND(B39=$E$5,C39=$E$6),IF($E$7&gt;E39,E39-D39,IF($E$7&lt;D39,0,$E$7-D39)),0)</f>
        <v>0</v>
      </c>
      <c r="H39" s="33">
        <f t="shared" si="8"/>
        <v>0</v>
      </c>
      <c r="J39" s="63">
        <v>2018</v>
      </c>
      <c r="K39" s="64" t="s">
        <v>3</v>
      </c>
      <c r="L39" s="66">
        <v>5.0000000000000004E-6</v>
      </c>
      <c r="M39" s="65">
        <f t="shared" si="0"/>
        <v>0</v>
      </c>
      <c r="P39" s="63">
        <v>2018</v>
      </c>
      <c r="Q39" s="64" t="s">
        <v>3</v>
      </c>
      <c r="R39" s="66">
        <v>8.5000000000000006E-2</v>
      </c>
      <c r="S39" s="65">
        <f t="shared" si="2"/>
        <v>0</v>
      </c>
    </row>
    <row r="40" spans="2:19" ht="13.5" thickBot="1" x14ac:dyDescent="0.25">
      <c r="B40" s="63">
        <v>2012</v>
      </c>
      <c r="C40" s="64" t="s">
        <v>12</v>
      </c>
      <c r="D40" s="65">
        <f>+E39</f>
        <v>40000</v>
      </c>
      <c r="E40" s="65">
        <v>999999999999</v>
      </c>
      <c r="F40" s="66">
        <v>0.09</v>
      </c>
      <c r="G40" s="65">
        <f>IF(AND(B40=$E$5,C40=$E$6),IF($E$7&gt;D40,$E$7-D40,0),0)</f>
        <v>0</v>
      </c>
      <c r="H40" s="65">
        <f t="shared" si="8"/>
        <v>0</v>
      </c>
      <c r="J40" s="22">
        <v>2019</v>
      </c>
      <c r="K40" s="23" t="s">
        <v>12</v>
      </c>
      <c r="L40" s="25">
        <v>2.5000000000000001E-3</v>
      </c>
      <c r="M40" s="24">
        <f t="shared" si="0"/>
        <v>0</v>
      </c>
      <c r="P40" s="22">
        <v>2019</v>
      </c>
      <c r="Q40" s="23" t="s">
        <v>12</v>
      </c>
      <c r="R40" s="25">
        <v>8.5000000000000006E-2</v>
      </c>
      <c r="S40" s="24">
        <f t="shared" si="2"/>
        <v>0</v>
      </c>
    </row>
    <row r="41" spans="2:19" x14ac:dyDescent="0.2">
      <c r="B41" s="59">
        <v>2012</v>
      </c>
      <c r="C41" s="60" t="s">
        <v>13</v>
      </c>
      <c r="D41" s="61">
        <v>0</v>
      </c>
      <c r="E41" s="61">
        <v>10000</v>
      </c>
      <c r="F41" s="62">
        <v>0.06</v>
      </c>
      <c r="G41" s="61">
        <f>IF(AND(B41=$E$5,C41=$E$6),IF($E$7&gt;E41,E41,$E$7),0)</f>
        <v>0</v>
      </c>
      <c r="H41" s="61">
        <f>+G41*F41</f>
        <v>0</v>
      </c>
      <c r="J41" s="26">
        <v>2019</v>
      </c>
      <c r="K41" s="27" t="s">
        <v>13</v>
      </c>
      <c r="L41" s="29">
        <v>2.5000000000000001E-3</v>
      </c>
      <c r="M41" s="28">
        <f t="shared" si="0"/>
        <v>0</v>
      </c>
      <c r="P41" s="26">
        <v>2019</v>
      </c>
      <c r="Q41" s="27" t="s">
        <v>13</v>
      </c>
      <c r="R41" s="29">
        <v>4.2500000000000003E-2</v>
      </c>
      <c r="S41" s="28">
        <f>IF($S$8&lt;5001,0,IF(AND(P41=$S$5,Q41=$S$6),$S$7*R41,0))</f>
        <v>0</v>
      </c>
    </row>
    <row r="42" spans="2:19" ht="13.5" thickBot="1" x14ac:dyDescent="0.25">
      <c r="B42" s="31">
        <v>2012</v>
      </c>
      <c r="C42" s="32" t="s">
        <v>13</v>
      </c>
      <c r="D42" s="33">
        <f>+E41</f>
        <v>10000</v>
      </c>
      <c r="E42" s="33">
        <v>20000</v>
      </c>
      <c r="F42" s="34">
        <v>0.1</v>
      </c>
      <c r="G42" s="33">
        <f>IF(AND(B42=$E$5,C42=$E$6),IF($E$7&gt;E42,E42-D42,IF($E$7&lt;D42,0,$E$7-D42)),0)</f>
        <v>0</v>
      </c>
      <c r="H42" s="33">
        <f t="shared" ref="H42:H44" si="9">+G42*F42</f>
        <v>0</v>
      </c>
      <c r="J42" s="18">
        <v>2019</v>
      </c>
      <c r="K42" s="19" t="s">
        <v>3</v>
      </c>
      <c r="L42" s="21">
        <v>5.0000000000000004E-6</v>
      </c>
      <c r="M42" s="20">
        <f t="shared" si="0"/>
        <v>0</v>
      </c>
      <c r="P42" s="18">
        <v>2019</v>
      </c>
      <c r="Q42" s="19" t="s">
        <v>3</v>
      </c>
      <c r="R42" s="21">
        <v>8.5000000000000006E-2</v>
      </c>
      <c r="S42" s="20">
        <f t="shared" si="2"/>
        <v>0</v>
      </c>
    </row>
    <row r="43" spans="2:19" x14ac:dyDescent="0.2">
      <c r="B43" s="31">
        <v>2012</v>
      </c>
      <c r="C43" s="32" t="s">
        <v>13</v>
      </c>
      <c r="D43" s="33">
        <f>+E42</f>
        <v>20000</v>
      </c>
      <c r="E43" s="33">
        <v>40000</v>
      </c>
      <c r="F43" s="34">
        <v>0.1</v>
      </c>
      <c r="G43" s="33">
        <f>IF(AND(B43=$E$5,C43=$E$6),IF($E$7&gt;E43,E43-D43,IF($E$7&lt;D43,0,$E$7-D43)),0)</f>
        <v>0</v>
      </c>
      <c r="H43" s="33">
        <f t="shared" si="9"/>
        <v>0</v>
      </c>
      <c r="J43" s="59">
        <v>2020</v>
      </c>
      <c r="K43" s="60" t="s">
        <v>12</v>
      </c>
      <c r="L43" s="62">
        <v>2.5000000000000001E-3</v>
      </c>
      <c r="M43" s="61">
        <f t="shared" si="0"/>
        <v>0</v>
      </c>
      <c r="P43" s="59">
        <v>2020</v>
      </c>
      <c r="Q43" s="60" t="s">
        <v>12</v>
      </c>
      <c r="R43" s="62">
        <v>8.5000000000000006E-2</v>
      </c>
      <c r="S43" s="61">
        <f t="shared" si="2"/>
        <v>0</v>
      </c>
    </row>
    <row r="44" spans="2:19" ht="13.5" thickBot="1" x14ac:dyDescent="0.25">
      <c r="B44" s="63">
        <v>2012</v>
      </c>
      <c r="C44" s="64" t="s">
        <v>13</v>
      </c>
      <c r="D44" s="65">
        <f>+E43</f>
        <v>40000</v>
      </c>
      <c r="E44" s="65">
        <v>999999999999</v>
      </c>
      <c r="F44" s="66">
        <v>0.09</v>
      </c>
      <c r="G44" s="65">
        <f>IF(AND(B44=$E$5,C44=$E$6),IF($E$7&gt;D44,$E$7-D44,0),0)</f>
        <v>0</v>
      </c>
      <c r="H44" s="65">
        <f t="shared" si="9"/>
        <v>0</v>
      </c>
      <c r="J44" s="31">
        <v>2020</v>
      </c>
      <c r="K44" s="32" t="s">
        <v>13</v>
      </c>
      <c r="L44" s="34">
        <v>2.5000000000000001E-3</v>
      </c>
      <c r="M44" s="33">
        <f t="shared" si="0"/>
        <v>0</v>
      </c>
      <c r="P44" s="31">
        <v>2020</v>
      </c>
      <c r="Q44" s="32" t="s">
        <v>13</v>
      </c>
      <c r="R44" s="34">
        <v>4.2500000000000003E-2</v>
      </c>
      <c r="S44" s="33">
        <f>IF($S$8&lt;5001,0,IF(AND(P44=$S$5,Q44=$S$6),$S$7*R44,0))</f>
        <v>0</v>
      </c>
    </row>
    <row r="45" spans="2:19" ht="13.5" thickBot="1" x14ac:dyDescent="0.25">
      <c r="B45" s="59">
        <v>2012</v>
      </c>
      <c r="C45" s="60" t="s">
        <v>3</v>
      </c>
      <c r="D45" s="61">
        <v>0</v>
      </c>
      <c r="E45" s="61">
        <v>10000</v>
      </c>
      <c r="F45" s="62">
        <v>0</v>
      </c>
      <c r="G45" s="61">
        <f>IF(AND(B45=$E$5,C45=$E$6),IF($E$7&gt;E45,E45,$E$7),0)</f>
        <v>0</v>
      </c>
      <c r="H45" s="61">
        <f>+G45*F45</f>
        <v>0</v>
      </c>
      <c r="J45" s="63">
        <v>2020</v>
      </c>
      <c r="K45" s="64" t="s">
        <v>3</v>
      </c>
      <c r="L45" s="66">
        <v>5.0000000000000004E-6</v>
      </c>
      <c r="M45" s="65">
        <f t="shared" si="0"/>
        <v>0</v>
      </c>
      <c r="P45" s="63">
        <v>2020</v>
      </c>
      <c r="Q45" s="64" t="s">
        <v>3</v>
      </c>
      <c r="R45" s="66">
        <v>8.5000000000000006E-2</v>
      </c>
      <c r="S45" s="65">
        <f t="shared" si="2"/>
        <v>0</v>
      </c>
    </row>
    <row r="46" spans="2:19" x14ac:dyDescent="0.2">
      <c r="B46" s="31">
        <v>2012</v>
      </c>
      <c r="C46" s="32" t="s">
        <v>3</v>
      </c>
      <c r="D46" s="33">
        <f>+E45</f>
        <v>10000</v>
      </c>
      <c r="E46" s="33">
        <v>20000</v>
      </c>
      <c r="F46" s="34">
        <v>0</v>
      </c>
      <c r="G46" s="33">
        <f>IF(AND(B46=$E$5,C46=$E$6),IF($E$7&gt;E46,E46-D46,IF($E$7&lt;D46,0,$E$7-D46)),0)</f>
        <v>0</v>
      </c>
      <c r="H46" s="33">
        <f t="shared" ref="H46:H48" si="10">+G46*F46</f>
        <v>0</v>
      </c>
      <c r="J46" s="22">
        <v>2021</v>
      </c>
      <c r="K46" s="23" t="s">
        <v>12</v>
      </c>
      <c r="L46" s="25">
        <v>2.5000000000000001E-3</v>
      </c>
      <c r="M46" s="24">
        <f t="shared" si="0"/>
        <v>0</v>
      </c>
      <c r="P46" s="22">
        <v>2021</v>
      </c>
      <c r="Q46" s="23" t="s">
        <v>12</v>
      </c>
      <c r="R46" s="25">
        <v>8.5000000000000006E-2</v>
      </c>
      <c r="S46" s="24">
        <f t="shared" si="2"/>
        <v>0</v>
      </c>
    </row>
    <row r="47" spans="2:19" x14ac:dyDescent="0.2">
      <c r="B47" s="31">
        <v>2012</v>
      </c>
      <c r="C47" s="32" t="s">
        <v>3</v>
      </c>
      <c r="D47" s="33">
        <f>+E46</f>
        <v>20000</v>
      </c>
      <c r="E47" s="33">
        <v>40000</v>
      </c>
      <c r="F47" s="34">
        <v>0</v>
      </c>
      <c r="G47" s="33">
        <f>IF(AND(B47=$E$5,C47=$E$6),IF($E$7&gt;E47,E47-D47,IF($E$7&lt;D47,0,$E$7-D47)),0)</f>
        <v>0</v>
      </c>
      <c r="H47" s="33">
        <f t="shared" si="10"/>
        <v>0</v>
      </c>
      <c r="J47" s="26">
        <v>2021</v>
      </c>
      <c r="K47" s="27" t="s">
        <v>13</v>
      </c>
      <c r="L47" s="29">
        <v>2.5000000000000001E-3</v>
      </c>
      <c r="M47" s="28">
        <f t="shared" si="0"/>
        <v>0</v>
      </c>
      <c r="P47" s="26">
        <v>2021</v>
      </c>
      <c r="Q47" s="27" t="s">
        <v>13</v>
      </c>
      <c r="R47" s="29">
        <v>4.2500000000000003E-2</v>
      </c>
      <c r="S47" s="28">
        <f>IF($S$8&lt;5001,0,IF(AND(P47=$S$5,Q47=$S$6),$S$7*R47,0))</f>
        <v>0</v>
      </c>
    </row>
    <row r="48" spans="2:19" ht="13.5" thickBot="1" x14ac:dyDescent="0.25">
      <c r="B48" s="63">
        <v>2012</v>
      </c>
      <c r="C48" s="64" t="s">
        <v>3</v>
      </c>
      <c r="D48" s="65">
        <f>+E47</f>
        <v>40000</v>
      </c>
      <c r="E48" s="65">
        <v>999999999999</v>
      </c>
      <c r="F48" s="66">
        <v>0</v>
      </c>
      <c r="G48" s="65">
        <f>IF(AND(B48=$E$5,C48=$E$6),IF($E$7&gt;D48,$E$7-D48,0),0)</f>
        <v>0</v>
      </c>
      <c r="H48" s="65">
        <f t="shared" si="10"/>
        <v>0</v>
      </c>
      <c r="J48" s="18">
        <v>2021</v>
      </c>
      <c r="K48" s="19" t="s">
        <v>3</v>
      </c>
      <c r="L48" s="21">
        <v>5.0000000000000004E-6</v>
      </c>
      <c r="M48" s="20">
        <f t="shared" si="0"/>
        <v>0</v>
      </c>
      <c r="P48" s="18">
        <v>2021</v>
      </c>
      <c r="Q48" s="19" t="s">
        <v>3</v>
      </c>
      <c r="R48" s="21">
        <v>8.5000000000000006E-2</v>
      </c>
      <c r="S48" s="20">
        <f t="shared" si="2"/>
        <v>0</v>
      </c>
    </row>
    <row r="49" spans="2:19" x14ac:dyDescent="0.2">
      <c r="B49" s="67">
        <v>2013</v>
      </c>
      <c r="C49" s="68" t="s">
        <v>12</v>
      </c>
      <c r="D49" s="69">
        <v>0</v>
      </c>
      <c r="E49" s="69">
        <v>10000</v>
      </c>
      <c r="F49" s="70">
        <v>0.06</v>
      </c>
      <c r="G49" s="69">
        <f>IF(AND(B49=$E$5,C49=$E$6),IF($E$7&gt;E49,E49,$E$7),0)</f>
        <v>0</v>
      </c>
      <c r="H49" s="69">
        <f>+G49*F49</f>
        <v>0</v>
      </c>
      <c r="J49" s="59">
        <v>2022</v>
      </c>
      <c r="K49" s="60" t="s">
        <v>12</v>
      </c>
      <c r="L49" s="62">
        <v>2.5000000000000001E-3</v>
      </c>
      <c r="M49" s="61">
        <f t="shared" si="0"/>
        <v>0</v>
      </c>
      <c r="P49" s="59">
        <v>2022</v>
      </c>
      <c r="Q49" s="60" t="s">
        <v>12</v>
      </c>
      <c r="R49" s="62">
        <v>8.5000000000000006E-2</v>
      </c>
      <c r="S49" s="61">
        <f t="shared" si="2"/>
        <v>0</v>
      </c>
    </row>
    <row r="50" spans="2:19" x14ac:dyDescent="0.2">
      <c r="B50" s="26">
        <v>2013</v>
      </c>
      <c r="C50" s="27" t="s">
        <v>12</v>
      </c>
      <c r="D50" s="28">
        <f>+E49</f>
        <v>10000</v>
      </c>
      <c r="E50" s="28">
        <v>40000</v>
      </c>
      <c r="F50" s="29">
        <v>8.66666666666666E-2</v>
      </c>
      <c r="G50" s="28">
        <f>IF(AND(B50=$E$5,C50=$E$6),IF($E$7&gt;E50,E50-D50,IF($E$7&lt;D50,0,$E$7-D50)),0)</f>
        <v>0</v>
      </c>
      <c r="H50" s="28">
        <f t="shared" ref="H50:H51" si="11">+G50*F50</f>
        <v>0</v>
      </c>
      <c r="J50" s="31">
        <v>2022</v>
      </c>
      <c r="K50" s="32" t="s">
        <v>13</v>
      </c>
      <c r="L50" s="34">
        <v>2.5000000000000001E-3</v>
      </c>
      <c r="M50" s="33">
        <f t="shared" si="0"/>
        <v>0</v>
      </c>
      <c r="P50" s="31">
        <v>2022</v>
      </c>
      <c r="Q50" s="32" t="s">
        <v>13</v>
      </c>
      <c r="R50" s="34">
        <v>4.2500000000000003E-2</v>
      </c>
      <c r="S50" s="33">
        <f>IF($S$8&lt;5001,0,IF(AND(P50=$S$5,Q50=$S$6),$S$7*R50,0))</f>
        <v>0</v>
      </c>
    </row>
    <row r="51" spans="2:19" ht="13.5" thickBot="1" x14ac:dyDescent="0.25">
      <c r="B51" s="71">
        <v>2013</v>
      </c>
      <c r="C51" s="72" t="s">
        <v>12</v>
      </c>
      <c r="D51" s="73">
        <f>+E50</f>
        <v>40000</v>
      </c>
      <c r="E51" s="73">
        <v>999999999999</v>
      </c>
      <c r="F51" s="74">
        <v>0.08</v>
      </c>
      <c r="G51" s="73">
        <f>IF(AND(B51=$E$5,C51=$E$6),IF($E$7&gt;D51,$E$7-D51,0),0)</f>
        <v>0</v>
      </c>
      <c r="H51" s="73">
        <f t="shared" si="11"/>
        <v>0</v>
      </c>
      <c r="J51" s="63">
        <v>2022</v>
      </c>
      <c r="K51" s="64" t="s">
        <v>3</v>
      </c>
      <c r="L51" s="66">
        <v>5.0000000000000004E-6</v>
      </c>
      <c r="M51" s="65">
        <f t="shared" si="0"/>
        <v>0</v>
      </c>
      <c r="P51" s="63">
        <v>2022</v>
      </c>
      <c r="Q51" s="64" t="s">
        <v>3</v>
      </c>
      <c r="R51" s="66">
        <v>8.5000000000000006E-2</v>
      </c>
      <c r="S51" s="65">
        <f t="shared" si="2"/>
        <v>0</v>
      </c>
    </row>
    <row r="52" spans="2:19" x14ac:dyDescent="0.2">
      <c r="B52" s="67">
        <v>2013</v>
      </c>
      <c r="C52" s="68" t="s">
        <v>13</v>
      </c>
      <c r="D52" s="69">
        <v>0</v>
      </c>
      <c r="E52" s="69">
        <v>10000</v>
      </c>
      <c r="F52" s="70">
        <v>0.06</v>
      </c>
      <c r="G52" s="69">
        <f>IF(AND(B52=$E$5,C52=$E$6),IF($E$7&gt;E52,E52,$E$7),0)</f>
        <v>0</v>
      </c>
      <c r="H52" s="69">
        <f>+G52*F52</f>
        <v>0</v>
      </c>
      <c r="J52" s="22">
        <v>2023</v>
      </c>
      <c r="K52" s="23" t="s">
        <v>12</v>
      </c>
      <c r="L52" s="25">
        <v>2.5000000000000001E-3</v>
      </c>
      <c r="M52" s="24">
        <f t="shared" si="0"/>
        <v>0</v>
      </c>
      <c r="P52" s="22">
        <v>2023</v>
      </c>
      <c r="Q52" s="23" t="s">
        <v>12</v>
      </c>
      <c r="R52" s="25">
        <v>8.5000000000000006E-2</v>
      </c>
      <c r="S52" s="24">
        <f t="shared" si="2"/>
        <v>0</v>
      </c>
    </row>
    <row r="53" spans="2:19" x14ac:dyDescent="0.2">
      <c r="B53" s="26">
        <v>2013</v>
      </c>
      <c r="C53" s="27" t="s">
        <v>13</v>
      </c>
      <c r="D53" s="28">
        <f>+E52</f>
        <v>10000</v>
      </c>
      <c r="E53" s="28">
        <v>40000</v>
      </c>
      <c r="F53" s="29">
        <v>8.66666666666666E-2</v>
      </c>
      <c r="G53" s="28">
        <f>IF(AND(B53=$E$5,C53=$E$6),IF($E$7&gt;E53,E53-D53,IF($E$7&lt;D53,0,$E$7-D53)),0)</f>
        <v>0</v>
      </c>
      <c r="H53" s="28">
        <f t="shared" ref="H53:H54" si="12">+G53*F53</f>
        <v>0</v>
      </c>
      <c r="J53" s="26">
        <v>2023</v>
      </c>
      <c r="K53" s="27" t="s">
        <v>13</v>
      </c>
      <c r="L53" s="29">
        <v>2.5000000000000001E-3</v>
      </c>
      <c r="M53" s="28">
        <f t="shared" si="0"/>
        <v>0</v>
      </c>
      <c r="P53" s="26">
        <v>2023</v>
      </c>
      <c r="Q53" s="27" t="s">
        <v>13</v>
      </c>
      <c r="R53" s="29">
        <v>4.2500000000000003E-2</v>
      </c>
      <c r="S53" s="28">
        <f>IF($S$8&lt;5001,0,IF(AND(P53=$S$5,Q53=$S$6),$S$7*R53,0))</f>
        <v>0</v>
      </c>
    </row>
    <row r="54" spans="2:19" ht="13.5" thickBot="1" x14ac:dyDescent="0.25">
      <c r="B54" s="71">
        <v>2013</v>
      </c>
      <c r="C54" s="72" t="s">
        <v>13</v>
      </c>
      <c r="D54" s="73">
        <f>+E53</f>
        <v>40000</v>
      </c>
      <c r="E54" s="73">
        <v>999999999999</v>
      </c>
      <c r="F54" s="74">
        <v>0.08</v>
      </c>
      <c r="G54" s="73">
        <f>IF(AND(B54=$E$5,C54=$E$6),IF($E$7&gt;D54,$E$7-D54,0),0)</f>
        <v>0</v>
      </c>
      <c r="H54" s="73">
        <f t="shared" si="12"/>
        <v>0</v>
      </c>
      <c r="J54" s="18">
        <v>2023</v>
      </c>
      <c r="K54" s="19" t="s">
        <v>3</v>
      </c>
      <c r="L54" s="21">
        <v>5.0000000000000004E-6</v>
      </c>
      <c r="M54" s="20">
        <f t="shared" si="0"/>
        <v>0</v>
      </c>
      <c r="P54" s="18">
        <v>2023</v>
      </c>
      <c r="Q54" s="19" t="s">
        <v>3</v>
      </c>
      <c r="R54" s="21">
        <v>8.5000000000000006E-2</v>
      </c>
      <c r="S54" s="20">
        <f t="shared" si="2"/>
        <v>0</v>
      </c>
    </row>
    <row r="55" spans="2:19" x14ac:dyDescent="0.2">
      <c r="B55" s="67">
        <v>2013</v>
      </c>
      <c r="C55" s="68" t="s">
        <v>3</v>
      </c>
      <c r="D55" s="69">
        <v>0</v>
      </c>
      <c r="E55" s="69">
        <v>10000</v>
      </c>
      <c r="F55" s="70">
        <v>0</v>
      </c>
      <c r="G55" s="69">
        <f>IF(AND(B55=$E$5,C55=$E$6),IF($E$7&gt;E55,E55,$E$7),0)</f>
        <v>0</v>
      </c>
      <c r="H55" s="69">
        <f>+G55*F55</f>
        <v>0</v>
      </c>
      <c r="J55" s="59">
        <v>2024</v>
      </c>
      <c r="K55" s="60" t="s">
        <v>12</v>
      </c>
      <c r="L55" s="62">
        <v>2.5000000000000001E-3</v>
      </c>
      <c r="M55" s="61">
        <f t="shared" si="0"/>
        <v>0</v>
      </c>
      <c r="P55" s="59">
        <v>2024</v>
      </c>
      <c r="Q55" s="60" t="s">
        <v>12</v>
      </c>
      <c r="R55" s="62">
        <v>8.5000000000000006E-2</v>
      </c>
      <c r="S55" s="61">
        <f t="shared" si="2"/>
        <v>0</v>
      </c>
    </row>
    <row r="56" spans="2:19" x14ac:dyDescent="0.2">
      <c r="B56" s="26">
        <v>2013</v>
      </c>
      <c r="C56" s="27" t="s">
        <v>3</v>
      </c>
      <c r="D56" s="28">
        <f>+E55</f>
        <v>10000</v>
      </c>
      <c r="E56" s="28">
        <v>40000</v>
      </c>
      <c r="F56" s="29">
        <v>0</v>
      </c>
      <c r="G56" s="28">
        <f>IF(AND(B56=$E$5,C56=$E$6),IF($E$7&gt;E56,E56-D56,IF($E$7&lt;D56,0,$E$7-D56)),0)</f>
        <v>0</v>
      </c>
      <c r="H56" s="28">
        <f t="shared" ref="H56:H57" si="13">+G56*F56</f>
        <v>0</v>
      </c>
      <c r="J56" s="31">
        <v>2024</v>
      </c>
      <c r="K56" s="32" t="s">
        <v>13</v>
      </c>
      <c r="L56" s="34">
        <v>2.5000000000000001E-3</v>
      </c>
      <c r="M56" s="33">
        <f t="shared" si="0"/>
        <v>0</v>
      </c>
      <c r="P56" s="31">
        <v>2024</v>
      </c>
      <c r="Q56" s="32" t="s">
        <v>13</v>
      </c>
      <c r="R56" s="34">
        <v>4.2500000000000003E-2</v>
      </c>
      <c r="S56" s="33">
        <f>IF($S$8&lt;5001,0,IF(AND(P56=$S$5,Q56=$S$6),$S$7*R56,0))</f>
        <v>0</v>
      </c>
    </row>
    <row r="57" spans="2:19" ht="13.5" thickBot="1" x14ac:dyDescent="0.25">
      <c r="B57" s="71">
        <v>2013</v>
      </c>
      <c r="C57" s="72" t="s">
        <v>3</v>
      </c>
      <c r="D57" s="73">
        <f>+E56</f>
        <v>40000</v>
      </c>
      <c r="E57" s="73">
        <v>999999999999</v>
      </c>
      <c r="F57" s="74">
        <v>0</v>
      </c>
      <c r="G57" s="73">
        <f>IF(AND(B57=$E$5,C57=$E$6),IF($E$7&gt;D57,$E$7-D57,0),0)</f>
        <v>0</v>
      </c>
      <c r="H57" s="73">
        <f t="shared" si="13"/>
        <v>0</v>
      </c>
      <c r="J57" s="63">
        <v>2024</v>
      </c>
      <c r="K57" s="64" t="s">
        <v>3</v>
      </c>
      <c r="L57" s="66">
        <v>5.0000000000000004E-6</v>
      </c>
      <c r="M57" s="65">
        <f t="shared" si="0"/>
        <v>0</v>
      </c>
      <c r="P57" s="63">
        <v>2024</v>
      </c>
      <c r="Q57" s="64" t="s">
        <v>3</v>
      </c>
      <c r="R57" s="66">
        <v>8.5000000000000006E-2</v>
      </c>
      <c r="S57" s="65">
        <f t="shared" si="2"/>
        <v>0</v>
      </c>
    </row>
    <row r="58" spans="2:19" x14ac:dyDescent="0.2">
      <c r="B58" s="59">
        <v>2014</v>
      </c>
      <c r="C58" s="60" t="s">
        <v>12</v>
      </c>
      <c r="D58" s="61">
        <v>0</v>
      </c>
      <c r="E58" s="61">
        <v>10000</v>
      </c>
      <c r="F58" s="62">
        <v>0.06</v>
      </c>
      <c r="G58" s="61">
        <f>IF(AND(B58=$E$5,C58=$E$6),IF($E$7&gt;E58,E58,$E$7),0)</f>
        <v>0</v>
      </c>
      <c r="H58" s="61">
        <f>+G58*F58</f>
        <v>0</v>
      </c>
      <c r="J58" s="22">
        <v>2025</v>
      </c>
      <c r="K58" s="23" t="s">
        <v>12</v>
      </c>
      <c r="L58" s="25">
        <v>2.5000000000000001E-3</v>
      </c>
      <c r="M58" s="24">
        <f t="shared" ref="M58:M63" si="14">IF(AND(J58=$E$5,K58=$E$6),$M$7*L58,0)</f>
        <v>0</v>
      </c>
      <c r="P58" s="22">
        <v>2025</v>
      </c>
      <c r="Q58" s="23" t="s">
        <v>12</v>
      </c>
      <c r="R58" s="25">
        <v>8.5000000000000006E-2</v>
      </c>
      <c r="S58" s="24">
        <f t="shared" ref="S58" si="15">IF(AND(P58=$S$5,Q58=$S$6),$S$7*R58,0)</f>
        <v>0</v>
      </c>
    </row>
    <row r="59" spans="2:19" x14ac:dyDescent="0.2">
      <c r="B59" s="31">
        <v>2014</v>
      </c>
      <c r="C59" s="32" t="s">
        <v>12</v>
      </c>
      <c r="D59" s="33">
        <f>+E58</f>
        <v>10000</v>
      </c>
      <c r="E59" s="33">
        <v>40000</v>
      </c>
      <c r="F59" s="34">
        <v>7.3333333333333306E-2</v>
      </c>
      <c r="G59" s="33">
        <f>IF(AND(B59=$E$5,C59=$E$6),IF($E$7&gt;E59,E59-D59,IF($E$7&lt;D59,0,$E$7-D59)),0)</f>
        <v>0</v>
      </c>
      <c r="H59" s="33">
        <f t="shared" ref="H59:H60" si="16">+G59*F59</f>
        <v>0</v>
      </c>
      <c r="J59" s="26">
        <v>2025</v>
      </c>
      <c r="K59" s="27" t="s">
        <v>13</v>
      </c>
      <c r="L59" s="29">
        <v>2.5000000000000001E-3</v>
      </c>
      <c r="M59" s="28">
        <f t="shared" si="14"/>
        <v>0</v>
      </c>
      <c r="P59" s="26">
        <v>2025</v>
      </c>
      <c r="Q59" s="27" t="s">
        <v>13</v>
      </c>
      <c r="R59" s="29">
        <v>4.2500000000000003E-2</v>
      </c>
      <c r="S59" s="28">
        <f>IF($S$8&lt;5001,0,IF(AND(P59=$S$5,Q59=$S$6),$S$7*R59,0))</f>
        <v>0</v>
      </c>
    </row>
    <row r="60" spans="2:19" ht="13.5" thickBot="1" x14ac:dyDescent="0.25">
      <c r="B60" s="63">
        <v>2014</v>
      </c>
      <c r="C60" s="64" t="s">
        <v>12</v>
      </c>
      <c r="D60" s="65">
        <f>+E59</f>
        <v>40000</v>
      </c>
      <c r="E60" s="65">
        <v>999999999999</v>
      </c>
      <c r="F60" s="66">
        <v>7.0000000000000007E-2</v>
      </c>
      <c r="G60" s="65">
        <f>IF(AND(B60=$E$5,C60=$E$6),IF($E$7&gt;D60,$E$7-D60,0),0)</f>
        <v>0</v>
      </c>
      <c r="H60" s="65">
        <f t="shared" si="16"/>
        <v>0</v>
      </c>
      <c r="J60" s="18">
        <v>2025</v>
      </c>
      <c r="K60" s="19" t="s">
        <v>3</v>
      </c>
      <c r="L60" s="21">
        <v>5.0000000000000004E-6</v>
      </c>
      <c r="M60" s="20">
        <f t="shared" si="14"/>
        <v>0</v>
      </c>
      <c r="P60" s="18">
        <v>2025</v>
      </c>
      <c r="Q60" s="19" t="s">
        <v>3</v>
      </c>
      <c r="R60" s="21">
        <v>8.5000000000000006E-2</v>
      </c>
      <c r="S60" s="20">
        <f t="shared" ref="S60:S61" si="17">IF(AND(P60=$S$5,Q60=$S$6),$S$7*R60,0)</f>
        <v>0</v>
      </c>
    </row>
    <row r="61" spans="2:19" x14ac:dyDescent="0.2">
      <c r="B61" s="59">
        <v>2014</v>
      </c>
      <c r="C61" s="60" t="s">
        <v>13</v>
      </c>
      <c r="D61" s="61">
        <v>0</v>
      </c>
      <c r="E61" s="61">
        <v>10000</v>
      </c>
      <c r="F61" s="62">
        <v>0.06</v>
      </c>
      <c r="G61" s="61">
        <f>IF(AND(B61=$E$5,C61=$E$6),IF($E$7&gt;E61,E61,$E$7),0)</f>
        <v>0</v>
      </c>
      <c r="H61" s="61">
        <f>+G61*F61</f>
        <v>0</v>
      </c>
      <c r="J61" s="59">
        <v>2026</v>
      </c>
      <c r="K61" s="60" t="s">
        <v>12</v>
      </c>
      <c r="L61" s="62">
        <v>2.5000000000000001E-3</v>
      </c>
      <c r="M61" s="61">
        <f t="shared" si="14"/>
        <v>0</v>
      </c>
      <c r="P61" s="59">
        <v>2026</v>
      </c>
      <c r="Q61" s="60" t="s">
        <v>12</v>
      </c>
      <c r="R61" s="62">
        <v>8.5000000000000006E-2</v>
      </c>
      <c r="S61" s="61">
        <f t="shared" si="17"/>
        <v>0</v>
      </c>
    </row>
    <row r="62" spans="2:19" x14ac:dyDescent="0.2">
      <c r="B62" s="31">
        <v>2014</v>
      </c>
      <c r="C62" s="32" t="s">
        <v>13</v>
      </c>
      <c r="D62" s="33">
        <f>+E61</f>
        <v>10000</v>
      </c>
      <c r="E62" s="33">
        <v>40000</v>
      </c>
      <c r="F62" s="34">
        <v>7.3333333333333306E-2</v>
      </c>
      <c r="G62" s="33">
        <f>IF(AND(B62=$E$5,C62=$E$6),IF($E$7&gt;E62,E62-D62,IF($E$7&lt;D62,0,$E$7-D62)),0)</f>
        <v>0</v>
      </c>
      <c r="H62" s="33">
        <f t="shared" ref="H62:H63" si="18">+G62*F62</f>
        <v>0</v>
      </c>
      <c r="J62" s="31">
        <v>2026</v>
      </c>
      <c r="K62" s="32" t="s">
        <v>13</v>
      </c>
      <c r="L62" s="34">
        <v>2.5000000000000001E-3</v>
      </c>
      <c r="M62" s="33">
        <f t="shared" si="14"/>
        <v>0</v>
      </c>
      <c r="P62" s="31">
        <v>2026</v>
      </c>
      <c r="Q62" s="32" t="s">
        <v>13</v>
      </c>
      <c r="R62" s="34">
        <v>4.2500000000000003E-2</v>
      </c>
      <c r="S62" s="33">
        <f>IF($S$8&lt;5001,0,IF(AND(P62=$S$5,Q62=$S$6),$S$7*R62,0))</f>
        <v>0</v>
      </c>
    </row>
    <row r="63" spans="2:19" ht="13.5" thickBot="1" x14ac:dyDescent="0.25">
      <c r="B63" s="63">
        <v>2014</v>
      </c>
      <c r="C63" s="64" t="s">
        <v>13</v>
      </c>
      <c r="D63" s="65">
        <f>+E62</f>
        <v>40000</v>
      </c>
      <c r="E63" s="65">
        <v>999999999999</v>
      </c>
      <c r="F63" s="66">
        <v>7.0000000000000007E-2</v>
      </c>
      <c r="G63" s="65">
        <f>IF(AND(B63=$E$5,C63=$E$6),IF($E$7&gt;D63,$E$7-D63,0),0)</f>
        <v>0</v>
      </c>
      <c r="H63" s="65">
        <f t="shared" si="18"/>
        <v>0</v>
      </c>
      <c r="J63" s="63">
        <v>2026</v>
      </c>
      <c r="K63" s="64" t="s">
        <v>3</v>
      </c>
      <c r="L63" s="66">
        <v>5.0000000000000004E-6</v>
      </c>
      <c r="M63" s="65">
        <f t="shared" si="14"/>
        <v>0</v>
      </c>
      <c r="P63" s="63">
        <v>2026</v>
      </c>
      <c r="Q63" s="64" t="s">
        <v>3</v>
      </c>
      <c r="R63" s="66">
        <v>8.5000000000000006E-2</v>
      </c>
      <c r="S63" s="65">
        <f t="shared" ref="S63" si="19">IF(AND(P63=$S$5,Q63=$S$6),$S$7*R63,0)</f>
        <v>0</v>
      </c>
    </row>
    <row r="64" spans="2:19" x14ac:dyDescent="0.2">
      <c r="B64" s="59">
        <v>2014</v>
      </c>
      <c r="C64" s="60" t="s">
        <v>3</v>
      </c>
      <c r="D64" s="61">
        <v>0</v>
      </c>
      <c r="E64" s="61">
        <v>10000</v>
      </c>
      <c r="F64" s="62">
        <v>0</v>
      </c>
      <c r="G64" s="61">
        <f>IF(AND(B64=$E$5,C64=$E$6),IF($E$7&gt;E64,E64,$E$7),0)</f>
        <v>0</v>
      </c>
      <c r="H64" s="61">
        <f>+G64*F64</f>
        <v>0</v>
      </c>
    </row>
    <row r="65" spans="2:8" x14ac:dyDescent="0.2">
      <c r="B65" s="31">
        <v>2014</v>
      </c>
      <c r="C65" s="32" t="s">
        <v>3</v>
      </c>
      <c r="D65" s="33">
        <f>+E64</f>
        <v>10000</v>
      </c>
      <c r="E65" s="33">
        <v>40000</v>
      </c>
      <c r="F65" s="34">
        <v>0</v>
      </c>
      <c r="G65" s="33">
        <f>IF(AND(B65=$E$5,C65=$E$6),IF($E$7&gt;E65,E65-D65,IF($E$7&lt;D65,0,$E$7-D65)),0)</f>
        <v>0</v>
      </c>
      <c r="H65" s="33">
        <f t="shared" ref="H65:H66" si="20">+G65*F65</f>
        <v>0</v>
      </c>
    </row>
    <row r="66" spans="2:8" ht="13.5" thickBot="1" x14ac:dyDescent="0.25">
      <c r="B66" s="63">
        <v>2014</v>
      </c>
      <c r="C66" s="64" t="s">
        <v>3</v>
      </c>
      <c r="D66" s="65">
        <f>+E65</f>
        <v>40000</v>
      </c>
      <c r="E66" s="65">
        <v>999999999999</v>
      </c>
      <c r="F66" s="66">
        <v>0</v>
      </c>
      <c r="G66" s="65">
        <f>IF(AND(B66=$E$5,C66=$E$6),IF($E$7&gt;D66,$E$7-D66,0),0)</f>
        <v>0</v>
      </c>
      <c r="H66" s="65">
        <f t="shared" si="20"/>
        <v>0</v>
      </c>
    </row>
    <row r="67" spans="2:8" ht="13.5" thickBot="1" x14ac:dyDescent="0.25">
      <c r="B67" s="75">
        <v>2015</v>
      </c>
      <c r="C67" s="76" t="s">
        <v>12</v>
      </c>
      <c r="D67" s="77">
        <v>0</v>
      </c>
      <c r="E67" s="77">
        <v>999999999999</v>
      </c>
      <c r="F67" s="78">
        <v>0.06</v>
      </c>
      <c r="G67" s="77">
        <f t="shared" ref="G67:G91" si="21">IF(AND(B67=$E$5,C67=$E$6),IF($E$7&gt;E67,E67,$E$7),0)</f>
        <v>0</v>
      </c>
      <c r="H67" s="77">
        <f t="shared" ref="H67:H91" si="22">+G67*F67</f>
        <v>0</v>
      </c>
    </row>
    <row r="68" spans="2:8" ht="13.5" thickBot="1" x14ac:dyDescent="0.25">
      <c r="B68" s="75">
        <v>2015</v>
      </c>
      <c r="C68" s="76" t="s">
        <v>13</v>
      </c>
      <c r="D68" s="77">
        <v>0</v>
      </c>
      <c r="E68" s="77">
        <v>999999999999</v>
      </c>
      <c r="F68" s="78">
        <v>0.06</v>
      </c>
      <c r="G68" s="77">
        <f t="shared" si="21"/>
        <v>0</v>
      </c>
      <c r="H68" s="77">
        <f t="shared" si="22"/>
        <v>0</v>
      </c>
    </row>
    <row r="69" spans="2:8" ht="13.5" thickBot="1" x14ac:dyDescent="0.25">
      <c r="B69" s="75">
        <v>2015</v>
      </c>
      <c r="C69" s="76" t="s">
        <v>3</v>
      </c>
      <c r="D69" s="77">
        <v>0</v>
      </c>
      <c r="E69" s="77">
        <v>999999999999</v>
      </c>
      <c r="F69" s="78">
        <v>0</v>
      </c>
      <c r="G69" s="77">
        <f t="shared" si="21"/>
        <v>0</v>
      </c>
      <c r="H69" s="77">
        <f t="shared" si="22"/>
        <v>0</v>
      </c>
    </row>
    <row r="70" spans="2:8" ht="13.5" thickBot="1" x14ac:dyDescent="0.25">
      <c r="B70" s="79">
        <v>2016</v>
      </c>
      <c r="C70" s="80" t="s">
        <v>12</v>
      </c>
      <c r="D70" s="81">
        <v>0</v>
      </c>
      <c r="E70" s="81">
        <v>999999999999</v>
      </c>
      <c r="F70" s="82">
        <v>0.05</v>
      </c>
      <c r="G70" s="81">
        <f t="shared" si="21"/>
        <v>0</v>
      </c>
      <c r="H70" s="81">
        <f t="shared" si="22"/>
        <v>0</v>
      </c>
    </row>
    <row r="71" spans="2:8" ht="13.5" thickBot="1" x14ac:dyDescent="0.25">
      <c r="B71" s="79">
        <v>2016</v>
      </c>
      <c r="C71" s="80" t="s">
        <v>13</v>
      </c>
      <c r="D71" s="81">
        <v>0</v>
      </c>
      <c r="E71" s="81">
        <v>999999999999</v>
      </c>
      <c r="F71" s="82">
        <v>0.05</v>
      </c>
      <c r="G71" s="81">
        <f t="shared" si="21"/>
        <v>0</v>
      </c>
      <c r="H71" s="81">
        <f t="shared" si="22"/>
        <v>0</v>
      </c>
    </row>
    <row r="72" spans="2:8" ht="13.5" thickBot="1" x14ac:dyDescent="0.25">
      <c r="B72" s="79">
        <v>2016</v>
      </c>
      <c r="C72" s="80" t="s">
        <v>3</v>
      </c>
      <c r="D72" s="81">
        <v>0</v>
      </c>
      <c r="E72" s="81">
        <v>999999999999</v>
      </c>
      <c r="F72" s="82">
        <v>0</v>
      </c>
      <c r="G72" s="81">
        <f t="shared" si="21"/>
        <v>0</v>
      </c>
      <c r="H72" s="81">
        <f t="shared" si="22"/>
        <v>0</v>
      </c>
    </row>
    <row r="73" spans="2:8" ht="13.5" thickBot="1" x14ac:dyDescent="0.25">
      <c r="B73" s="75">
        <v>2017</v>
      </c>
      <c r="C73" s="76" t="s">
        <v>12</v>
      </c>
      <c r="D73" s="77">
        <v>0</v>
      </c>
      <c r="E73" s="77">
        <v>999999999999</v>
      </c>
      <c r="F73" s="78">
        <v>0.05</v>
      </c>
      <c r="G73" s="77">
        <f t="shared" si="21"/>
        <v>0</v>
      </c>
      <c r="H73" s="77">
        <f t="shared" si="22"/>
        <v>0</v>
      </c>
    </row>
    <row r="74" spans="2:8" ht="13.5" thickBot="1" x14ac:dyDescent="0.25">
      <c r="B74" s="75">
        <v>2017</v>
      </c>
      <c r="C74" s="76" t="s">
        <v>13</v>
      </c>
      <c r="D74" s="77">
        <v>0</v>
      </c>
      <c r="E74" s="77">
        <v>999999999999</v>
      </c>
      <c r="F74" s="78">
        <v>0.05</v>
      </c>
      <c r="G74" s="77">
        <f t="shared" si="21"/>
        <v>0</v>
      </c>
      <c r="H74" s="77">
        <f t="shared" si="22"/>
        <v>0</v>
      </c>
    </row>
    <row r="75" spans="2:8" ht="13.5" thickBot="1" x14ac:dyDescent="0.25">
      <c r="B75" s="75">
        <v>2017</v>
      </c>
      <c r="C75" s="76" t="s">
        <v>3</v>
      </c>
      <c r="D75" s="77">
        <v>0</v>
      </c>
      <c r="E75" s="77">
        <v>999999999999</v>
      </c>
      <c r="F75" s="78">
        <v>0</v>
      </c>
      <c r="G75" s="77">
        <f t="shared" si="21"/>
        <v>0</v>
      </c>
      <c r="H75" s="77">
        <f t="shared" si="22"/>
        <v>0</v>
      </c>
    </row>
    <row r="76" spans="2:8" ht="13.5" thickBot="1" x14ac:dyDescent="0.25">
      <c r="B76" s="79">
        <v>2018</v>
      </c>
      <c r="C76" s="80" t="s">
        <v>12</v>
      </c>
      <c r="D76" s="81">
        <v>0</v>
      </c>
      <c r="E76" s="81">
        <v>999999999999</v>
      </c>
      <c r="F76" s="82">
        <v>0.05</v>
      </c>
      <c r="G76" s="81">
        <f t="shared" si="21"/>
        <v>0</v>
      </c>
      <c r="H76" s="81">
        <f t="shared" si="22"/>
        <v>0</v>
      </c>
    </row>
    <row r="77" spans="2:8" ht="13.5" thickBot="1" x14ac:dyDescent="0.25">
      <c r="B77" s="79">
        <v>2018</v>
      </c>
      <c r="C77" s="80" t="s">
        <v>13</v>
      </c>
      <c r="D77" s="81">
        <v>0</v>
      </c>
      <c r="E77" s="81">
        <v>999999999999</v>
      </c>
      <c r="F77" s="82">
        <v>0.05</v>
      </c>
      <c r="G77" s="81">
        <f t="shared" si="21"/>
        <v>0</v>
      </c>
      <c r="H77" s="81">
        <f t="shared" si="22"/>
        <v>0</v>
      </c>
    </row>
    <row r="78" spans="2:8" ht="13.5" thickBot="1" x14ac:dyDescent="0.25">
      <c r="B78" s="79">
        <v>2018</v>
      </c>
      <c r="C78" s="80" t="s">
        <v>3</v>
      </c>
      <c r="D78" s="81">
        <v>0</v>
      </c>
      <c r="E78" s="81">
        <v>999999999999</v>
      </c>
      <c r="F78" s="82">
        <v>0</v>
      </c>
      <c r="G78" s="81">
        <f t="shared" si="21"/>
        <v>0</v>
      </c>
      <c r="H78" s="81">
        <f t="shared" si="22"/>
        <v>0</v>
      </c>
    </row>
    <row r="79" spans="2:8" ht="13.5" thickBot="1" x14ac:dyDescent="0.25">
      <c r="B79" s="75">
        <v>2019</v>
      </c>
      <c r="C79" s="76" t="s">
        <v>12</v>
      </c>
      <c r="D79" s="77">
        <v>0</v>
      </c>
      <c r="E79" s="77">
        <v>999999999999</v>
      </c>
      <c r="F79" s="78">
        <v>0.05</v>
      </c>
      <c r="G79" s="77">
        <f t="shared" si="21"/>
        <v>0</v>
      </c>
      <c r="H79" s="77">
        <f t="shared" si="22"/>
        <v>0</v>
      </c>
    </row>
    <row r="80" spans="2:8" ht="13.5" thickBot="1" x14ac:dyDescent="0.25">
      <c r="B80" s="75">
        <v>2019</v>
      </c>
      <c r="C80" s="76" t="s">
        <v>13</v>
      </c>
      <c r="D80" s="77">
        <v>0</v>
      </c>
      <c r="E80" s="77">
        <v>999999999999</v>
      </c>
      <c r="F80" s="78">
        <v>0.05</v>
      </c>
      <c r="G80" s="77">
        <f t="shared" si="21"/>
        <v>0</v>
      </c>
      <c r="H80" s="77">
        <f t="shared" si="22"/>
        <v>0</v>
      </c>
    </row>
    <row r="81" spans="2:8" ht="13.5" thickBot="1" x14ac:dyDescent="0.25">
      <c r="B81" s="75">
        <v>2019</v>
      </c>
      <c r="C81" s="76" t="s">
        <v>3</v>
      </c>
      <c r="D81" s="77">
        <v>0</v>
      </c>
      <c r="E81" s="77">
        <v>999999999999</v>
      </c>
      <c r="F81" s="78">
        <v>0</v>
      </c>
      <c r="G81" s="77">
        <f t="shared" si="21"/>
        <v>0</v>
      </c>
      <c r="H81" s="77">
        <f t="shared" si="22"/>
        <v>0</v>
      </c>
    </row>
    <row r="82" spans="2:8" ht="13.5" thickBot="1" x14ac:dyDescent="0.25">
      <c r="B82" s="79">
        <v>2020</v>
      </c>
      <c r="C82" s="80" t="s">
        <v>12</v>
      </c>
      <c r="D82" s="81">
        <v>0</v>
      </c>
      <c r="E82" s="81">
        <v>999999999999</v>
      </c>
      <c r="F82" s="82">
        <v>3.5999999999999997E-2</v>
      </c>
      <c r="G82" s="81">
        <f t="shared" si="21"/>
        <v>0</v>
      </c>
      <c r="H82" s="81">
        <f t="shared" si="22"/>
        <v>0</v>
      </c>
    </row>
    <row r="83" spans="2:8" ht="13.5" thickBot="1" x14ac:dyDescent="0.25">
      <c r="B83" s="79">
        <v>2020</v>
      </c>
      <c r="C83" s="80" t="s">
        <v>13</v>
      </c>
      <c r="D83" s="81">
        <v>0</v>
      </c>
      <c r="E83" s="81">
        <v>999999999999</v>
      </c>
      <c r="F83" s="82">
        <v>3.5999999999999997E-2</v>
      </c>
      <c r="G83" s="81">
        <f t="shared" si="21"/>
        <v>0</v>
      </c>
      <c r="H83" s="81">
        <f t="shared" si="22"/>
        <v>0</v>
      </c>
    </row>
    <row r="84" spans="2:8" ht="13.5" thickBot="1" x14ac:dyDescent="0.25">
      <c r="B84" s="83">
        <v>2020</v>
      </c>
      <c r="C84" s="84" t="s">
        <v>3</v>
      </c>
      <c r="D84" s="85">
        <v>0</v>
      </c>
      <c r="E84" s="85">
        <v>999999999999</v>
      </c>
      <c r="F84" s="86">
        <v>3.5999999999999997E-2</v>
      </c>
      <c r="G84" s="85">
        <f t="shared" si="21"/>
        <v>0</v>
      </c>
      <c r="H84" s="85">
        <f t="shared" si="22"/>
        <v>0</v>
      </c>
    </row>
    <row r="85" spans="2:8" ht="13.5" thickBot="1" x14ac:dyDescent="0.25">
      <c r="B85" s="75">
        <v>2021</v>
      </c>
      <c r="C85" s="76" t="s">
        <v>12</v>
      </c>
      <c r="D85" s="77">
        <v>0</v>
      </c>
      <c r="E85" s="77">
        <v>999999999999</v>
      </c>
      <c r="F85" s="78">
        <v>3.5999999999999997E-2</v>
      </c>
      <c r="G85" s="77">
        <f t="shared" si="21"/>
        <v>0</v>
      </c>
      <c r="H85" s="77">
        <f t="shared" si="22"/>
        <v>0</v>
      </c>
    </row>
    <row r="86" spans="2:8" ht="13.5" thickBot="1" x14ac:dyDescent="0.25">
      <c r="B86" s="75">
        <v>2021</v>
      </c>
      <c r="C86" s="76" t="s">
        <v>13</v>
      </c>
      <c r="D86" s="77">
        <v>0</v>
      </c>
      <c r="E86" s="77">
        <v>999999999999</v>
      </c>
      <c r="F86" s="78">
        <v>3.5999999999999997E-2</v>
      </c>
      <c r="G86" s="77">
        <f t="shared" si="21"/>
        <v>0</v>
      </c>
      <c r="H86" s="77">
        <f t="shared" si="22"/>
        <v>0</v>
      </c>
    </row>
    <row r="87" spans="2:8" ht="13.5" thickBot="1" x14ac:dyDescent="0.25">
      <c r="B87" s="75">
        <v>2021</v>
      </c>
      <c r="C87" s="76" t="s">
        <v>3</v>
      </c>
      <c r="D87" s="77">
        <v>0</v>
      </c>
      <c r="E87" s="77">
        <v>999999999999</v>
      </c>
      <c r="F87" s="78">
        <v>3.5999999999999997E-2</v>
      </c>
      <c r="G87" s="77">
        <f t="shared" si="21"/>
        <v>0</v>
      </c>
      <c r="H87" s="77">
        <f t="shared" si="22"/>
        <v>0</v>
      </c>
    </row>
    <row r="88" spans="2:8" ht="13.5" thickBot="1" x14ac:dyDescent="0.25">
      <c r="B88" s="79">
        <v>2022</v>
      </c>
      <c r="C88" s="80" t="s">
        <v>12</v>
      </c>
      <c r="D88" s="81">
        <v>0</v>
      </c>
      <c r="E88" s="81">
        <v>999999999999</v>
      </c>
      <c r="F88" s="82">
        <v>3.5999999999999997E-2</v>
      </c>
      <c r="G88" s="81">
        <f t="shared" si="21"/>
        <v>0</v>
      </c>
      <c r="H88" s="81">
        <f t="shared" si="22"/>
        <v>0</v>
      </c>
    </row>
    <row r="89" spans="2:8" ht="13.5" thickBot="1" x14ac:dyDescent="0.25">
      <c r="B89" s="79">
        <v>2022</v>
      </c>
      <c r="C89" s="80" t="s">
        <v>13</v>
      </c>
      <c r="D89" s="81">
        <v>0</v>
      </c>
      <c r="E89" s="81">
        <v>999999999999</v>
      </c>
      <c r="F89" s="82">
        <v>3.5999999999999997E-2</v>
      </c>
      <c r="G89" s="81">
        <f t="shared" si="21"/>
        <v>0</v>
      </c>
      <c r="H89" s="81">
        <f t="shared" si="22"/>
        <v>0</v>
      </c>
    </row>
    <row r="90" spans="2:8" ht="13.5" thickBot="1" x14ac:dyDescent="0.25">
      <c r="B90" s="79">
        <v>2022</v>
      </c>
      <c r="C90" s="80" t="s">
        <v>3</v>
      </c>
      <c r="D90" s="81">
        <v>0</v>
      </c>
      <c r="E90" s="81">
        <v>999999999999</v>
      </c>
      <c r="F90" s="82">
        <v>3.5999999999999997E-2</v>
      </c>
      <c r="G90" s="81">
        <f t="shared" si="21"/>
        <v>0</v>
      </c>
      <c r="H90" s="81">
        <f t="shared" si="22"/>
        <v>0</v>
      </c>
    </row>
    <row r="91" spans="2:8" x14ac:dyDescent="0.2">
      <c r="B91" s="87">
        <v>2023</v>
      </c>
      <c r="C91" s="88" t="s">
        <v>12</v>
      </c>
      <c r="D91" s="89">
        <v>0</v>
      </c>
      <c r="E91" s="89">
        <v>5000000</v>
      </c>
      <c r="F91" s="90">
        <v>3.5999999999999997E-2</v>
      </c>
      <c r="G91" s="89">
        <f t="shared" si="21"/>
        <v>0</v>
      </c>
      <c r="H91" s="89">
        <f t="shared" si="22"/>
        <v>0</v>
      </c>
    </row>
    <row r="92" spans="2:8" x14ac:dyDescent="0.2">
      <c r="B92" s="55">
        <v>2023</v>
      </c>
      <c r="C92" s="56" t="s">
        <v>12</v>
      </c>
      <c r="D92" s="57">
        <f>+E91</f>
        <v>5000000</v>
      </c>
      <c r="E92" s="57">
        <v>25000000</v>
      </c>
      <c r="F92" s="58">
        <v>3.7499999999999999E-2</v>
      </c>
      <c r="G92" s="57">
        <f>IF(AND(B92=$E$5,C92=$E$6),IF($E$7&gt;E92,E92-D92,IF($E$7&lt;D92,0,$E$7-D92)),0)</f>
        <v>0</v>
      </c>
      <c r="H92" s="57">
        <f t="shared" ref="H92:H94" si="23">+G92*F92</f>
        <v>0</v>
      </c>
    </row>
    <row r="93" spans="2:8" x14ac:dyDescent="0.2">
      <c r="B93" s="55">
        <v>2023</v>
      </c>
      <c r="C93" s="56" t="s">
        <v>12</v>
      </c>
      <c r="D93" s="57">
        <f>+E92</f>
        <v>25000000</v>
      </c>
      <c r="E93" s="57">
        <v>40000000</v>
      </c>
      <c r="F93" s="58">
        <v>0.04</v>
      </c>
      <c r="G93" s="57">
        <f>IF(AND(B93=$E$5,C93=$E$6),IF($E$7&gt;E93,E93-D93,IF($E$7&lt;D93,0,$E$7-D93)),0)</f>
        <v>0</v>
      </c>
      <c r="H93" s="57">
        <f t="shared" si="23"/>
        <v>0</v>
      </c>
    </row>
    <row r="94" spans="2:8" ht="13.5" thickBot="1" x14ac:dyDescent="0.25">
      <c r="B94" s="91">
        <v>2023</v>
      </c>
      <c r="C94" s="92" t="s">
        <v>12</v>
      </c>
      <c r="D94" s="93">
        <f>+E93</f>
        <v>40000000</v>
      </c>
      <c r="E94" s="93">
        <v>999999999999</v>
      </c>
      <c r="F94" s="94">
        <v>4.4999999999999998E-2</v>
      </c>
      <c r="G94" s="93">
        <f>IF(AND(B94=$E$5,C94=$E$6),IF($E$7&gt;D94,$E$7-D94,0),0)</f>
        <v>0</v>
      </c>
      <c r="H94" s="93">
        <f t="shared" si="23"/>
        <v>0</v>
      </c>
    </row>
    <row r="95" spans="2:8" x14ac:dyDescent="0.2">
      <c r="B95" s="87">
        <v>2023</v>
      </c>
      <c r="C95" s="88" t="s">
        <v>13</v>
      </c>
      <c r="D95" s="89">
        <v>0</v>
      </c>
      <c r="E95" s="89">
        <v>5000000</v>
      </c>
      <c r="F95" s="90">
        <v>3.5999999999999997E-2</v>
      </c>
      <c r="G95" s="89">
        <f>IF(AND(B95=$E$5,C95=$E$6),IF($E$7&gt;E95,E95,$E$7),0)</f>
        <v>0</v>
      </c>
      <c r="H95" s="89">
        <f>+G95*F95</f>
        <v>0</v>
      </c>
    </row>
    <row r="96" spans="2:8" x14ac:dyDescent="0.2">
      <c r="B96" s="55">
        <v>2023</v>
      </c>
      <c r="C96" s="56" t="s">
        <v>13</v>
      </c>
      <c r="D96" s="57">
        <f>+E95</f>
        <v>5000000</v>
      </c>
      <c r="E96" s="57">
        <v>25000000</v>
      </c>
      <c r="F96" s="58">
        <v>3.7499999999999999E-2</v>
      </c>
      <c r="G96" s="57">
        <f>IF(AND(B96=$E$5,C96=$E$6),IF($E$7&gt;E96,E96-D96,IF($E$7&lt;D96,0,$E$7-D96)),0)</f>
        <v>0</v>
      </c>
      <c r="H96" s="57">
        <f t="shared" ref="H96:H99" si="24">+G96*F96</f>
        <v>0</v>
      </c>
    </row>
    <row r="97" spans="2:8" x14ac:dyDescent="0.2">
      <c r="B97" s="55">
        <v>2023</v>
      </c>
      <c r="C97" s="56" t="s">
        <v>13</v>
      </c>
      <c r="D97" s="57">
        <f>+E96</f>
        <v>25000000</v>
      </c>
      <c r="E97" s="57">
        <v>40000000</v>
      </c>
      <c r="F97" s="58">
        <v>0.04</v>
      </c>
      <c r="G97" s="57">
        <f>IF(AND(B97=$E$5,C97=$E$6),IF($E$7&gt;E97,E97-D97,IF($E$7&lt;D97,0,$E$7-D97)),0)</f>
        <v>0</v>
      </c>
      <c r="H97" s="57">
        <f t="shared" si="24"/>
        <v>0</v>
      </c>
    </row>
    <row r="98" spans="2:8" ht="13.5" thickBot="1" x14ac:dyDescent="0.25">
      <c r="B98" s="91">
        <v>2023</v>
      </c>
      <c r="C98" s="92" t="s">
        <v>13</v>
      </c>
      <c r="D98" s="93">
        <f>+E97</f>
        <v>40000000</v>
      </c>
      <c r="E98" s="93">
        <v>999999999999</v>
      </c>
      <c r="F98" s="94">
        <v>4.4999999999999998E-2</v>
      </c>
      <c r="G98" s="93">
        <f>IF(AND(B98=$E$5,C98=$E$6),IF($E$7&gt;D98,$E$7-D98,0),0)</f>
        <v>0</v>
      </c>
      <c r="H98" s="93">
        <f t="shared" si="24"/>
        <v>0</v>
      </c>
    </row>
    <row r="99" spans="2:8" x14ac:dyDescent="0.2">
      <c r="B99" s="87">
        <v>2023</v>
      </c>
      <c r="C99" s="88" t="s">
        <v>3</v>
      </c>
      <c r="D99" s="89">
        <v>0</v>
      </c>
      <c r="E99" s="89">
        <v>5000000</v>
      </c>
      <c r="F99" s="90">
        <v>3.5999999999999997E-2</v>
      </c>
      <c r="G99" s="89">
        <f>IF(AND(B99=$E$5,C99=$E$6),IF($E$7&gt;E99,E99,$E$7),0)</f>
        <v>0</v>
      </c>
      <c r="H99" s="89">
        <f t="shared" si="24"/>
        <v>0</v>
      </c>
    </row>
    <row r="100" spans="2:8" x14ac:dyDescent="0.2">
      <c r="B100" s="55">
        <v>2023</v>
      </c>
      <c r="C100" s="56" t="s">
        <v>3</v>
      </c>
      <c r="D100" s="57">
        <f>+E99</f>
        <v>5000000</v>
      </c>
      <c r="E100" s="57">
        <v>25000000</v>
      </c>
      <c r="F100" s="58">
        <v>3.7499999999999999E-2</v>
      </c>
      <c r="G100" s="57">
        <f>IF(AND(B100=$E$5,C100=$E$6),IF($E$7&gt;E100,E100-D100,IF($E$7&lt;D100,0,$E$7-D100)),0)</f>
        <v>0</v>
      </c>
      <c r="H100" s="57">
        <f t="shared" ref="H100:H102" si="25">+G100*F100</f>
        <v>0</v>
      </c>
    </row>
    <row r="101" spans="2:8" x14ac:dyDescent="0.2">
      <c r="B101" s="55">
        <v>2023</v>
      </c>
      <c r="C101" s="56" t="s">
        <v>3</v>
      </c>
      <c r="D101" s="57">
        <f>+E100</f>
        <v>25000000</v>
      </c>
      <c r="E101" s="57">
        <v>40000000</v>
      </c>
      <c r="F101" s="58">
        <v>0.04</v>
      </c>
      <c r="G101" s="57">
        <f>IF(AND(B101=$E$5,C101=$E$6),IF($E$7&gt;E101,E101-D101,IF($E$7&lt;D101,0,$E$7-D101)),0)</f>
        <v>0</v>
      </c>
      <c r="H101" s="57">
        <f t="shared" si="25"/>
        <v>0</v>
      </c>
    </row>
    <row r="102" spans="2:8" ht="13.5" thickBot="1" x14ac:dyDescent="0.25">
      <c r="B102" s="91">
        <v>2023</v>
      </c>
      <c r="C102" s="92" t="s">
        <v>3</v>
      </c>
      <c r="D102" s="93">
        <f>+E101</f>
        <v>40000000</v>
      </c>
      <c r="E102" s="93">
        <v>999999999999</v>
      </c>
      <c r="F102" s="94">
        <v>4.4999999999999998E-2</v>
      </c>
      <c r="G102" s="93">
        <f>IF(AND(B102=$E$5,C102=$E$6),IF($E$7&gt;D102,$E$7-D102,0),0)</f>
        <v>0</v>
      </c>
      <c r="H102" s="93">
        <f t="shared" si="25"/>
        <v>0</v>
      </c>
    </row>
    <row r="103" spans="2:8" x14ac:dyDescent="0.2">
      <c r="B103" s="59">
        <v>2024</v>
      </c>
      <c r="C103" s="60" t="s">
        <v>12</v>
      </c>
      <c r="D103" s="61">
        <v>0</v>
      </c>
      <c r="E103" s="61">
        <v>5000000</v>
      </c>
      <c r="F103" s="62">
        <v>3.5999999999999997E-2</v>
      </c>
      <c r="G103" s="61">
        <f>IF(AND(B103=$E$5,C103=$E$6),IF($E$7&gt;E103,E103,$E$7),0)</f>
        <v>0</v>
      </c>
      <c r="H103" s="61">
        <f>+G103*F103</f>
        <v>0</v>
      </c>
    </row>
    <row r="104" spans="2:8" x14ac:dyDescent="0.2">
      <c r="B104" s="31">
        <v>2024</v>
      </c>
      <c r="C104" s="32" t="s">
        <v>12</v>
      </c>
      <c r="D104" s="33">
        <f>+E103</f>
        <v>5000000</v>
      </c>
      <c r="E104" s="33">
        <v>25000000</v>
      </c>
      <c r="F104" s="34">
        <v>3.7499999999999999E-2</v>
      </c>
      <c r="G104" s="33">
        <f>IF(AND(B104=$E$5,C104=$E$6),IF($E$7&gt;E104,E104-D104,IF($E$7&lt;D104,0,$E$7-D104)),0)</f>
        <v>0</v>
      </c>
      <c r="H104" s="33">
        <f t="shared" ref="H104:H106" si="26">+G104*F104</f>
        <v>0</v>
      </c>
    </row>
    <row r="105" spans="2:8" x14ac:dyDescent="0.2">
      <c r="B105" s="31">
        <v>2024</v>
      </c>
      <c r="C105" s="32" t="s">
        <v>12</v>
      </c>
      <c r="D105" s="33">
        <f>+E104</f>
        <v>25000000</v>
      </c>
      <c r="E105" s="33">
        <v>40000000</v>
      </c>
      <c r="F105" s="34">
        <v>0.04</v>
      </c>
      <c r="G105" s="33">
        <f>IF(AND(B105=$E$5,C105=$E$6),IF($E$7&gt;E105,E105-D105,IF($E$7&lt;D105,0,$E$7-D105)),0)</f>
        <v>0</v>
      </c>
      <c r="H105" s="33">
        <f t="shared" si="26"/>
        <v>0</v>
      </c>
    </row>
    <row r="106" spans="2:8" ht="13.5" thickBot="1" x14ac:dyDescent="0.25">
      <c r="B106" s="63">
        <v>2024</v>
      </c>
      <c r="C106" s="64" t="s">
        <v>12</v>
      </c>
      <c r="D106" s="65">
        <f>+E105</f>
        <v>40000000</v>
      </c>
      <c r="E106" s="65">
        <v>999999999999</v>
      </c>
      <c r="F106" s="66">
        <v>4.4999999999999998E-2</v>
      </c>
      <c r="G106" s="65">
        <f>IF(AND(B106=$E$5,C106=$E$6),IF($E$7&gt;D106,$E$7-D106,0),0)</f>
        <v>0</v>
      </c>
      <c r="H106" s="65">
        <f t="shared" si="26"/>
        <v>0</v>
      </c>
    </row>
    <row r="107" spans="2:8" x14ac:dyDescent="0.2">
      <c r="B107" s="59">
        <v>2024</v>
      </c>
      <c r="C107" s="60" t="s">
        <v>13</v>
      </c>
      <c r="D107" s="61">
        <v>0</v>
      </c>
      <c r="E107" s="61">
        <v>5000000</v>
      </c>
      <c r="F107" s="62">
        <v>3.5999999999999997E-2</v>
      </c>
      <c r="G107" s="61">
        <f>IF(AND(B107=$E$5,C107=$E$6),IF($E$7&gt;E107,E107,$E$7),0)</f>
        <v>0</v>
      </c>
      <c r="H107" s="61">
        <f>+G107*F107</f>
        <v>0</v>
      </c>
    </row>
    <row r="108" spans="2:8" x14ac:dyDescent="0.2">
      <c r="B108" s="31">
        <v>2024</v>
      </c>
      <c r="C108" s="32" t="s">
        <v>13</v>
      </c>
      <c r="D108" s="33">
        <f>+E107</f>
        <v>5000000</v>
      </c>
      <c r="E108" s="33">
        <v>25000000</v>
      </c>
      <c r="F108" s="34">
        <v>3.7499999999999999E-2</v>
      </c>
      <c r="G108" s="33">
        <f>IF(AND(B108=$E$5,C108=$E$6),IF($E$7&gt;E108,E108-D108,IF($E$7&lt;D108,0,$E$7-D108)),0)</f>
        <v>0</v>
      </c>
      <c r="H108" s="33">
        <f t="shared" ref="H108:H114" si="27">+G108*F108</f>
        <v>0</v>
      </c>
    </row>
    <row r="109" spans="2:8" x14ac:dyDescent="0.2">
      <c r="B109" s="31">
        <v>2024</v>
      </c>
      <c r="C109" s="32" t="s">
        <v>13</v>
      </c>
      <c r="D109" s="33">
        <f>+E108</f>
        <v>25000000</v>
      </c>
      <c r="E109" s="33">
        <v>40000000</v>
      </c>
      <c r="F109" s="34">
        <v>0.04</v>
      </c>
      <c r="G109" s="33">
        <f>IF(AND(B109=$E$5,C109=$E$6),IF($E$7&gt;E109,E109-D109,IF($E$7&lt;D109,0,$E$7-D109)),0)</f>
        <v>0</v>
      </c>
      <c r="H109" s="33">
        <f t="shared" si="27"/>
        <v>0</v>
      </c>
    </row>
    <row r="110" spans="2:8" ht="13.5" thickBot="1" x14ac:dyDescent="0.25">
      <c r="B110" s="63">
        <v>2024</v>
      </c>
      <c r="C110" s="64" t="s">
        <v>13</v>
      </c>
      <c r="D110" s="65">
        <f>+E109</f>
        <v>40000000</v>
      </c>
      <c r="E110" s="65">
        <v>999999999999</v>
      </c>
      <c r="F110" s="66">
        <v>4.4999999999999998E-2</v>
      </c>
      <c r="G110" s="65">
        <f>IF(AND(B110=$E$5,C110=$E$6),IF($E$7&gt;D110,$E$7-D110,0),0)</f>
        <v>0</v>
      </c>
      <c r="H110" s="65">
        <f t="shared" si="27"/>
        <v>0</v>
      </c>
    </row>
    <row r="111" spans="2:8" x14ac:dyDescent="0.2">
      <c r="B111" s="59">
        <v>2024</v>
      </c>
      <c r="C111" s="60" t="s">
        <v>3</v>
      </c>
      <c r="D111" s="61">
        <v>0</v>
      </c>
      <c r="E111" s="61">
        <v>5000000</v>
      </c>
      <c r="F111" s="62">
        <v>3.5999999999999997E-2</v>
      </c>
      <c r="G111" s="61">
        <f>IF(AND(B111=$E$5,C111=$E$6),IF($E$7&gt;E111,E111,$E$7),0)</f>
        <v>0</v>
      </c>
      <c r="H111" s="61">
        <f t="shared" si="27"/>
        <v>0</v>
      </c>
    </row>
    <row r="112" spans="2:8" x14ac:dyDescent="0.2">
      <c r="B112" s="31">
        <v>2024</v>
      </c>
      <c r="C112" s="32" t="s">
        <v>3</v>
      </c>
      <c r="D112" s="33">
        <f>+E111</f>
        <v>5000000</v>
      </c>
      <c r="E112" s="33">
        <v>25000000</v>
      </c>
      <c r="F112" s="34">
        <v>3.7499999999999999E-2</v>
      </c>
      <c r="G112" s="33">
        <f>IF(AND(B112=$E$5,C112=$E$6),IF($E$7&gt;E112,E112-D112,IF($E$7&lt;D112,0,$E$7-D112)),0)</f>
        <v>0</v>
      </c>
      <c r="H112" s="33">
        <f t="shared" si="27"/>
        <v>0</v>
      </c>
    </row>
    <row r="113" spans="2:8" x14ac:dyDescent="0.2">
      <c r="B113" s="31">
        <v>2024</v>
      </c>
      <c r="C113" s="32" t="s">
        <v>3</v>
      </c>
      <c r="D113" s="33">
        <f>+E112</f>
        <v>25000000</v>
      </c>
      <c r="E113" s="33">
        <v>40000000</v>
      </c>
      <c r="F113" s="34">
        <v>0.04</v>
      </c>
      <c r="G113" s="33">
        <f>IF(AND(B113=$E$5,C113=$E$6),IF($E$7&gt;E113,E113-D113,IF($E$7&lt;D113,0,$E$7-D113)),0)</f>
        <v>0</v>
      </c>
      <c r="H113" s="33">
        <f t="shared" si="27"/>
        <v>0</v>
      </c>
    </row>
    <row r="114" spans="2:8" ht="13.5" thickBot="1" x14ac:dyDescent="0.25">
      <c r="B114" s="63">
        <v>2024</v>
      </c>
      <c r="C114" s="64" t="s">
        <v>3</v>
      </c>
      <c r="D114" s="65">
        <f>+E113</f>
        <v>40000000</v>
      </c>
      <c r="E114" s="65">
        <v>999999999999</v>
      </c>
      <c r="F114" s="66">
        <v>4.4999999999999998E-2</v>
      </c>
      <c r="G114" s="65">
        <f>IF(AND(B114=$E$5,C114=$E$6),IF($E$7&gt;D114,$E$7-D114,0),0)</f>
        <v>0</v>
      </c>
      <c r="H114" s="65">
        <f t="shared" si="27"/>
        <v>0</v>
      </c>
    </row>
    <row r="115" spans="2:8" x14ac:dyDescent="0.2">
      <c r="B115" s="87">
        <v>2025</v>
      </c>
      <c r="C115" s="88" t="s">
        <v>12</v>
      </c>
      <c r="D115" s="89">
        <v>0</v>
      </c>
      <c r="E115" s="89">
        <v>5000000</v>
      </c>
      <c r="F115" s="90">
        <v>3.5999999999999997E-2</v>
      </c>
      <c r="G115" s="89">
        <f>IF(AND(B115=$E$5,C115=$E$6),IF($E$7&gt;E115,E115,$E$7),0)</f>
        <v>0</v>
      </c>
      <c r="H115" s="89">
        <f>+G115*F115</f>
        <v>0</v>
      </c>
    </row>
    <row r="116" spans="2:8" x14ac:dyDescent="0.2">
      <c r="B116" s="55">
        <v>2025</v>
      </c>
      <c r="C116" s="56" t="s">
        <v>12</v>
      </c>
      <c r="D116" s="57">
        <f>+E115</f>
        <v>5000000</v>
      </c>
      <c r="E116" s="57">
        <v>25000000</v>
      </c>
      <c r="F116" s="58">
        <v>3.7499999999999999E-2</v>
      </c>
      <c r="G116" s="57">
        <f>IF(AND(B116=$E$5,C116=$E$6),IF($E$7&gt;E116,E116-D116,IF($E$7&lt;D116,0,$E$7-D116)),0)</f>
        <v>0</v>
      </c>
      <c r="H116" s="57">
        <f t="shared" ref="H116:H118" si="28">+G116*F116</f>
        <v>0</v>
      </c>
    </row>
    <row r="117" spans="2:8" x14ac:dyDescent="0.2">
      <c r="B117" s="55">
        <v>2025</v>
      </c>
      <c r="C117" s="56" t="s">
        <v>12</v>
      </c>
      <c r="D117" s="57">
        <f>+E116</f>
        <v>25000000</v>
      </c>
      <c r="E117" s="57">
        <v>40000000</v>
      </c>
      <c r="F117" s="58">
        <v>0.04</v>
      </c>
      <c r="G117" s="57">
        <f>IF(AND(B117=$E$5,C117=$E$6),IF($E$7&gt;E117,E117-D117,IF($E$7&lt;D117,0,$E$7-D117)),0)</f>
        <v>0</v>
      </c>
      <c r="H117" s="57">
        <f t="shared" si="28"/>
        <v>0</v>
      </c>
    </row>
    <row r="118" spans="2:8" ht="13.5" thickBot="1" x14ac:dyDescent="0.25">
      <c r="B118" s="91">
        <v>2025</v>
      </c>
      <c r="C118" s="92" t="s">
        <v>12</v>
      </c>
      <c r="D118" s="93">
        <f>+E117</f>
        <v>40000000</v>
      </c>
      <c r="E118" s="93">
        <v>999999999999</v>
      </c>
      <c r="F118" s="94">
        <v>4.4999999999999998E-2</v>
      </c>
      <c r="G118" s="93">
        <f>IF(AND(B118=$E$5,C118=$E$6),IF($E$7&gt;D118,$E$7-D118,0),0)</f>
        <v>0</v>
      </c>
      <c r="H118" s="93">
        <f t="shared" si="28"/>
        <v>0</v>
      </c>
    </row>
    <row r="119" spans="2:8" x14ac:dyDescent="0.2">
      <c r="B119" s="87">
        <v>2025</v>
      </c>
      <c r="C119" s="88" t="s">
        <v>13</v>
      </c>
      <c r="D119" s="89">
        <v>0</v>
      </c>
      <c r="E119" s="89">
        <v>5000000</v>
      </c>
      <c r="F119" s="90">
        <v>3.5999999999999997E-2</v>
      </c>
      <c r="G119" s="89">
        <f>IF(AND(B119=$E$5,C119=$E$6),IF($E$7&gt;E119,E119,$E$7),0)</f>
        <v>0</v>
      </c>
      <c r="H119" s="89">
        <f>+G119*F119</f>
        <v>0</v>
      </c>
    </row>
    <row r="120" spans="2:8" x14ac:dyDescent="0.2">
      <c r="B120" s="55">
        <v>2025</v>
      </c>
      <c r="C120" s="56" t="s">
        <v>13</v>
      </c>
      <c r="D120" s="57">
        <f>+E119</f>
        <v>5000000</v>
      </c>
      <c r="E120" s="57">
        <v>25000000</v>
      </c>
      <c r="F120" s="58">
        <v>3.7499999999999999E-2</v>
      </c>
      <c r="G120" s="57">
        <f>IF(AND(B120=$E$5,C120=$E$6),IF($E$7&gt;E120,E120-D120,IF($E$7&lt;D120,0,$E$7-D120)),0)</f>
        <v>0</v>
      </c>
      <c r="H120" s="57">
        <f t="shared" ref="H120:H126" si="29">+G120*F120</f>
        <v>0</v>
      </c>
    </row>
    <row r="121" spans="2:8" x14ac:dyDescent="0.2">
      <c r="B121" s="55">
        <v>2025</v>
      </c>
      <c r="C121" s="56" t="s">
        <v>13</v>
      </c>
      <c r="D121" s="57">
        <f>+E120</f>
        <v>25000000</v>
      </c>
      <c r="E121" s="57">
        <v>40000000</v>
      </c>
      <c r="F121" s="58">
        <v>0.04</v>
      </c>
      <c r="G121" s="57">
        <f>IF(AND(B121=$E$5,C121=$E$6),IF($E$7&gt;E121,E121-D121,IF($E$7&lt;D121,0,$E$7-D121)),0)</f>
        <v>0</v>
      </c>
      <c r="H121" s="57">
        <f t="shared" si="29"/>
        <v>0</v>
      </c>
    </row>
    <row r="122" spans="2:8" ht="13.5" thickBot="1" x14ac:dyDescent="0.25">
      <c r="B122" s="91">
        <v>2025</v>
      </c>
      <c r="C122" s="92" t="s">
        <v>13</v>
      </c>
      <c r="D122" s="93">
        <f>+E121</f>
        <v>40000000</v>
      </c>
      <c r="E122" s="93">
        <v>999999999999</v>
      </c>
      <c r="F122" s="94">
        <v>4.4999999999999998E-2</v>
      </c>
      <c r="G122" s="93">
        <f>IF(AND(B122=$E$5,C122=$E$6),IF($E$7&gt;D122,$E$7-D122,0),0)</f>
        <v>0</v>
      </c>
      <c r="H122" s="93">
        <f t="shared" si="29"/>
        <v>0</v>
      </c>
    </row>
    <row r="123" spans="2:8" x14ac:dyDescent="0.2">
      <c r="B123" s="87">
        <v>2025</v>
      </c>
      <c r="C123" s="88" t="s">
        <v>3</v>
      </c>
      <c r="D123" s="89">
        <v>0</v>
      </c>
      <c r="E123" s="89">
        <v>5000000</v>
      </c>
      <c r="F123" s="90">
        <v>3.5999999999999997E-2</v>
      </c>
      <c r="G123" s="89">
        <f>IF(AND(B123=$E$5,C123=$E$6),IF($E$7&gt;E123,E123,$E$7),0)</f>
        <v>0</v>
      </c>
      <c r="H123" s="89">
        <f t="shared" si="29"/>
        <v>0</v>
      </c>
    </row>
    <row r="124" spans="2:8" x14ac:dyDescent="0.2">
      <c r="B124" s="55">
        <v>2025</v>
      </c>
      <c r="C124" s="56" t="s">
        <v>3</v>
      </c>
      <c r="D124" s="57">
        <f>+E123</f>
        <v>5000000</v>
      </c>
      <c r="E124" s="57">
        <v>25000000</v>
      </c>
      <c r="F124" s="58">
        <v>3.7499999999999999E-2</v>
      </c>
      <c r="G124" s="57">
        <f>IF(AND(B124=$E$5,C124=$E$6),IF($E$7&gt;E124,E124-D124,IF($E$7&lt;D124,0,$E$7-D124)),0)</f>
        <v>0</v>
      </c>
      <c r="H124" s="57">
        <f t="shared" si="29"/>
        <v>0</v>
      </c>
    </row>
    <row r="125" spans="2:8" x14ac:dyDescent="0.2">
      <c r="B125" s="55">
        <v>2025</v>
      </c>
      <c r="C125" s="56" t="s">
        <v>3</v>
      </c>
      <c r="D125" s="57">
        <f>+E124</f>
        <v>25000000</v>
      </c>
      <c r="E125" s="57">
        <v>40000000</v>
      </c>
      <c r="F125" s="58">
        <v>0.04</v>
      </c>
      <c r="G125" s="57">
        <f>IF(AND(B125=$E$5,C125=$E$6),IF($E$7&gt;E125,E125-D125,IF($E$7&lt;D125,0,$E$7-D125)),0)</f>
        <v>0</v>
      </c>
      <c r="H125" s="57">
        <f t="shared" si="29"/>
        <v>0</v>
      </c>
    </row>
    <row r="126" spans="2:8" ht="13.5" thickBot="1" x14ac:dyDescent="0.25">
      <c r="B126" s="91">
        <v>2025</v>
      </c>
      <c r="C126" s="92" t="s">
        <v>3</v>
      </c>
      <c r="D126" s="93">
        <f>+E125</f>
        <v>40000000</v>
      </c>
      <c r="E126" s="93">
        <v>999999999999</v>
      </c>
      <c r="F126" s="94">
        <v>4.4999999999999998E-2</v>
      </c>
      <c r="G126" s="93">
        <f>IF(AND(B126=$E$5,C126=$E$6),IF($E$7&gt;D126,$E$7-D126,0),0)</f>
        <v>0</v>
      </c>
      <c r="H126" s="93">
        <f t="shared" si="29"/>
        <v>0</v>
      </c>
    </row>
    <row r="127" spans="2:8" x14ac:dyDescent="0.2">
      <c r="B127" s="59">
        <v>2026</v>
      </c>
      <c r="C127" s="60" t="s">
        <v>12</v>
      </c>
      <c r="D127" s="61">
        <v>0</v>
      </c>
      <c r="E127" s="61">
        <v>5000000</v>
      </c>
      <c r="F127" s="62">
        <v>3.5999999999999997E-2</v>
      </c>
      <c r="G127" s="61">
        <f>IF(AND(B127=$E$5,C127=$E$6),IF($E$7&gt;E127,E127,$E$7),0)</f>
        <v>0</v>
      </c>
      <c r="H127" s="61">
        <f>+G127*F127</f>
        <v>0</v>
      </c>
    </row>
    <row r="128" spans="2:8" x14ac:dyDescent="0.2">
      <c r="B128" s="31">
        <v>2026</v>
      </c>
      <c r="C128" s="32" t="s">
        <v>12</v>
      </c>
      <c r="D128" s="33">
        <f>+E127</f>
        <v>5000000</v>
      </c>
      <c r="E128" s="33">
        <v>25000000</v>
      </c>
      <c r="F128" s="34">
        <v>3.7499999999999999E-2</v>
      </c>
      <c r="G128" s="33">
        <f>IF(AND(B128=$E$5,C128=$E$6),IF($E$7&gt;E128,E128-D128,IF($E$7&lt;D128,0,$E$7-D128)),0)</f>
        <v>0</v>
      </c>
      <c r="H128" s="33">
        <f t="shared" ref="H128:H130" si="30">+G128*F128</f>
        <v>0</v>
      </c>
    </row>
    <row r="129" spans="2:8" x14ac:dyDescent="0.2">
      <c r="B129" s="31">
        <v>2026</v>
      </c>
      <c r="C129" s="32" t="s">
        <v>12</v>
      </c>
      <c r="D129" s="33">
        <f>+E128</f>
        <v>25000000</v>
      </c>
      <c r="E129" s="33">
        <v>40000000</v>
      </c>
      <c r="F129" s="34">
        <v>0.04</v>
      </c>
      <c r="G129" s="33">
        <f>IF(AND(B129=$E$5,C129=$E$6),IF($E$7&gt;E129,E129-D129,IF($E$7&lt;D129,0,$E$7-D129)),0)</f>
        <v>0</v>
      </c>
      <c r="H129" s="33">
        <f t="shared" si="30"/>
        <v>0</v>
      </c>
    </row>
    <row r="130" spans="2:8" ht="13.5" thickBot="1" x14ac:dyDescent="0.25">
      <c r="B130" s="63">
        <v>2026</v>
      </c>
      <c r="C130" s="64" t="s">
        <v>12</v>
      </c>
      <c r="D130" s="65">
        <f>+E129</f>
        <v>40000000</v>
      </c>
      <c r="E130" s="65">
        <v>999999999999</v>
      </c>
      <c r="F130" s="66">
        <v>4.4999999999999998E-2</v>
      </c>
      <c r="G130" s="65">
        <f>IF(AND(B130=$E$5,C130=$E$6),IF($E$7&gt;D130,$E$7-D130,0),0)</f>
        <v>0</v>
      </c>
      <c r="H130" s="65">
        <f t="shared" si="30"/>
        <v>0</v>
      </c>
    </row>
    <row r="131" spans="2:8" x14ac:dyDescent="0.2">
      <c r="B131" s="59">
        <v>2026</v>
      </c>
      <c r="C131" s="60" t="s">
        <v>13</v>
      </c>
      <c r="D131" s="61">
        <v>0</v>
      </c>
      <c r="E131" s="61">
        <v>5000000</v>
      </c>
      <c r="F131" s="62">
        <v>3.5999999999999997E-2</v>
      </c>
      <c r="G131" s="61">
        <f>IF(AND(B131=$E$5,C131=$E$6),IF($E$7&gt;E131,E131,$E$7),0)</f>
        <v>0</v>
      </c>
      <c r="H131" s="61">
        <f>+G131*F131</f>
        <v>0</v>
      </c>
    </row>
    <row r="132" spans="2:8" x14ac:dyDescent="0.2">
      <c r="B132" s="31">
        <v>2026</v>
      </c>
      <c r="C132" s="32" t="s">
        <v>13</v>
      </c>
      <c r="D132" s="33">
        <f>+E131</f>
        <v>5000000</v>
      </c>
      <c r="E132" s="33">
        <v>25000000</v>
      </c>
      <c r="F132" s="34">
        <v>3.7499999999999999E-2</v>
      </c>
      <c r="G132" s="33">
        <f>IF(AND(B132=$E$5,C132=$E$6),IF($E$7&gt;E132,E132-D132,IF($E$7&lt;D132,0,$E$7-D132)),0)</f>
        <v>0</v>
      </c>
      <c r="H132" s="33">
        <f t="shared" ref="H132:H138" si="31">+G132*F132</f>
        <v>0</v>
      </c>
    </row>
    <row r="133" spans="2:8" x14ac:dyDescent="0.2">
      <c r="B133" s="31">
        <v>2026</v>
      </c>
      <c r="C133" s="32" t="s">
        <v>13</v>
      </c>
      <c r="D133" s="33">
        <f>+E132</f>
        <v>25000000</v>
      </c>
      <c r="E133" s="33">
        <v>40000000</v>
      </c>
      <c r="F133" s="34">
        <v>0.04</v>
      </c>
      <c r="G133" s="33">
        <f>IF(AND(B133=$E$5,C133=$E$6),IF($E$7&gt;E133,E133-D133,IF($E$7&lt;D133,0,$E$7-D133)),0)</f>
        <v>0</v>
      </c>
      <c r="H133" s="33">
        <f t="shared" si="31"/>
        <v>0</v>
      </c>
    </row>
    <row r="134" spans="2:8" ht="13.5" thickBot="1" x14ac:dyDescent="0.25">
      <c r="B134" s="63">
        <v>2026</v>
      </c>
      <c r="C134" s="64" t="s">
        <v>13</v>
      </c>
      <c r="D134" s="65">
        <f>+E133</f>
        <v>40000000</v>
      </c>
      <c r="E134" s="65">
        <v>999999999999</v>
      </c>
      <c r="F134" s="66">
        <v>4.4999999999999998E-2</v>
      </c>
      <c r="G134" s="65">
        <f>IF(AND(B134=$E$5,C134=$E$6),IF($E$7&gt;D134,$E$7-D134,0),0)</f>
        <v>0</v>
      </c>
      <c r="H134" s="65">
        <f t="shared" si="31"/>
        <v>0</v>
      </c>
    </row>
    <row r="135" spans="2:8" x14ac:dyDescent="0.2">
      <c r="B135" s="59">
        <v>2026</v>
      </c>
      <c r="C135" s="60" t="s">
        <v>3</v>
      </c>
      <c r="D135" s="61">
        <v>0</v>
      </c>
      <c r="E135" s="61">
        <v>5000000</v>
      </c>
      <c r="F135" s="62">
        <v>3.5999999999999997E-2</v>
      </c>
      <c r="G135" s="61">
        <f>IF(AND(B135=$E$5,C135=$E$6),IF($E$7&gt;E135,E135,$E$7),0)</f>
        <v>0</v>
      </c>
      <c r="H135" s="61">
        <f t="shared" si="31"/>
        <v>0</v>
      </c>
    </row>
    <row r="136" spans="2:8" x14ac:dyDescent="0.2">
      <c r="B136" s="31">
        <v>2026</v>
      </c>
      <c r="C136" s="32" t="s">
        <v>3</v>
      </c>
      <c r="D136" s="33">
        <f>+E135</f>
        <v>5000000</v>
      </c>
      <c r="E136" s="33">
        <v>25000000</v>
      </c>
      <c r="F136" s="34">
        <v>3.7499999999999999E-2</v>
      </c>
      <c r="G136" s="33">
        <f>IF(AND(B136=$E$5,C136=$E$6),IF($E$7&gt;E136,E136-D136,IF($E$7&lt;D136,0,$E$7-D136)),0)</f>
        <v>0</v>
      </c>
      <c r="H136" s="33">
        <f t="shared" si="31"/>
        <v>0</v>
      </c>
    </row>
    <row r="137" spans="2:8" x14ac:dyDescent="0.2">
      <c r="B137" s="31">
        <v>2026</v>
      </c>
      <c r="C137" s="32" t="s">
        <v>3</v>
      </c>
      <c r="D137" s="33">
        <f>+E136</f>
        <v>25000000</v>
      </c>
      <c r="E137" s="33">
        <v>40000000</v>
      </c>
      <c r="F137" s="34">
        <v>0.04</v>
      </c>
      <c r="G137" s="33">
        <f>IF(AND(B137=$E$5,C137=$E$6),IF($E$7&gt;E137,E137-D137,IF($E$7&lt;D137,0,$E$7-D137)),0)</f>
        <v>0</v>
      </c>
      <c r="H137" s="33">
        <f t="shared" si="31"/>
        <v>0</v>
      </c>
    </row>
    <row r="138" spans="2:8" ht="13.5" thickBot="1" x14ac:dyDescent="0.25">
      <c r="B138" s="63">
        <v>2026</v>
      </c>
      <c r="C138" s="64" t="s">
        <v>3</v>
      </c>
      <c r="D138" s="65">
        <f>+E137</f>
        <v>40000000</v>
      </c>
      <c r="E138" s="65">
        <v>999999999999</v>
      </c>
      <c r="F138" s="66">
        <v>4.4999999999999998E-2</v>
      </c>
      <c r="G138" s="65">
        <f>IF(AND(B138=$E$5,C138=$E$6),IF($E$7&gt;D138,$E$7-D138,0),0)</f>
        <v>0</v>
      </c>
      <c r="H138" s="65">
        <f t="shared" si="31"/>
        <v>0</v>
      </c>
    </row>
  </sheetData>
  <mergeCells count="22">
    <mergeCell ref="C10:D10"/>
    <mergeCell ref="C9:D9"/>
    <mergeCell ref="C8:D8"/>
    <mergeCell ref="C7:D7"/>
    <mergeCell ref="C6:D6"/>
    <mergeCell ref="K9:L9"/>
    <mergeCell ref="K8:L8"/>
    <mergeCell ref="K7:L7"/>
    <mergeCell ref="K6:L6"/>
    <mergeCell ref="K5:L5"/>
    <mergeCell ref="B1:N1"/>
    <mergeCell ref="B3:H3"/>
    <mergeCell ref="J3:N3"/>
    <mergeCell ref="Q5:R5"/>
    <mergeCell ref="Q6:R6"/>
    <mergeCell ref="C5:D5"/>
    <mergeCell ref="Q8:R8"/>
    <mergeCell ref="Q9:R9"/>
    <mergeCell ref="Q10:R10"/>
    <mergeCell ref="P3:T3"/>
    <mergeCell ref="P1:T1"/>
    <mergeCell ref="Q7:R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B1:Y37"/>
  <sheetViews>
    <sheetView topLeftCell="B1" workbookViewId="0">
      <selection activeCell="M36" sqref="M36"/>
    </sheetView>
  </sheetViews>
  <sheetFormatPr baseColWidth="10" defaultRowHeight="12.75" x14ac:dyDescent="0.2"/>
  <cols>
    <col min="1" max="1" width="2.42578125" customWidth="1"/>
    <col min="9" max="9" width="2.42578125" customWidth="1"/>
    <col min="17" max="17" width="2" customWidth="1"/>
  </cols>
  <sheetData>
    <row r="1" spans="2:25" x14ac:dyDescent="0.2">
      <c r="B1" s="122" t="s">
        <v>48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R1" s="122" t="s">
        <v>51</v>
      </c>
      <c r="S1" s="122"/>
      <c r="T1" s="122"/>
      <c r="U1" s="122"/>
      <c r="V1" s="122"/>
      <c r="W1" s="122"/>
      <c r="X1" s="122"/>
      <c r="Y1" s="122"/>
    </row>
    <row r="3" spans="2:25" x14ac:dyDescent="0.2">
      <c r="B3" s="122" t="s">
        <v>49</v>
      </c>
      <c r="C3" s="122"/>
      <c r="D3" s="122"/>
      <c r="E3" s="122"/>
      <c r="F3" s="122"/>
      <c r="G3" s="122"/>
      <c r="H3" s="122"/>
      <c r="J3" s="122" t="s">
        <v>50</v>
      </c>
      <c r="K3" s="122"/>
      <c r="L3" s="122"/>
      <c r="M3" s="122"/>
      <c r="N3" s="122"/>
      <c r="O3" s="122"/>
      <c r="P3" s="122"/>
      <c r="R3" s="122" t="s">
        <v>49</v>
      </c>
      <c r="S3" s="122"/>
      <c r="T3" s="122"/>
      <c r="U3" s="122"/>
      <c r="V3" s="122"/>
      <c r="W3" s="122"/>
      <c r="X3" s="122"/>
      <c r="Y3" s="122"/>
    </row>
    <row r="25" spans="11:11" x14ac:dyDescent="0.2">
      <c r="K25" s="106"/>
    </row>
    <row r="26" spans="11:11" x14ac:dyDescent="0.2">
      <c r="K26" s="106"/>
    </row>
    <row r="27" spans="11:11" x14ac:dyDescent="0.2">
      <c r="K27" s="104"/>
    </row>
    <row r="29" spans="11:11" x14ac:dyDescent="0.2">
      <c r="K29" s="105"/>
    </row>
    <row r="33" spans="11:13" x14ac:dyDescent="0.2">
      <c r="K33" s="98"/>
      <c r="L33" s="107"/>
      <c r="M33" s="98"/>
    </row>
    <row r="34" spans="11:13" x14ac:dyDescent="0.2">
      <c r="K34" s="98"/>
      <c r="L34" s="104"/>
      <c r="M34" s="98"/>
    </row>
    <row r="35" spans="11:13" x14ac:dyDescent="0.2">
      <c r="K35" s="98"/>
      <c r="M35" s="98"/>
    </row>
    <row r="36" spans="11:13" x14ac:dyDescent="0.2">
      <c r="K36" s="98"/>
    </row>
    <row r="37" spans="11:13" x14ac:dyDescent="0.2">
      <c r="K37" s="98"/>
      <c r="L37" s="98"/>
      <c r="M37" s="108"/>
    </row>
  </sheetData>
  <mergeCells count="5">
    <mergeCell ref="B1:P1"/>
    <mergeCell ref="B3:H3"/>
    <mergeCell ref="J3:P3"/>
    <mergeCell ref="R1:Y1"/>
    <mergeCell ref="R3:Y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5:I65"/>
  <sheetViews>
    <sheetView workbookViewId="0">
      <selection activeCell="H8" sqref="H8"/>
    </sheetView>
  </sheetViews>
  <sheetFormatPr baseColWidth="10" defaultRowHeight="12.75" x14ac:dyDescent="0.2"/>
  <cols>
    <col min="1" max="1" width="9.5703125" bestFit="1" customWidth="1"/>
    <col min="2" max="2" width="9.28515625" customWidth="1"/>
    <col min="3" max="3" width="9.140625" bestFit="1" customWidth="1"/>
    <col min="4" max="5" width="12.28515625" bestFit="1" customWidth="1"/>
    <col min="6" max="8" width="13.28515625" bestFit="1" customWidth="1"/>
    <col min="9" max="9" width="10" bestFit="1" customWidth="1"/>
  </cols>
  <sheetData>
    <row r="5" spans="1:9" x14ac:dyDescent="0.2">
      <c r="D5" s="125" t="s">
        <v>56</v>
      </c>
      <c r="E5" s="125"/>
      <c r="F5" s="125"/>
      <c r="G5" s="125"/>
      <c r="H5" s="125"/>
      <c r="I5" s="125"/>
    </row>
    <row r="6" spans="1:9" x14ac:dyDescent="0.2">
      <c r="A6" s="103" t="s">
        <v>57</v>
      </c>
      <c r="D6" s="101">
        <v>10000</v>
      </c>
      <c r="E6" s="101">
        <v>10001</v>
      </c>
      <c r="F6" s="101">
        <v>20000</v>
      </c>
      <c r="G6" s="101">
        <v>20001</v>
      </c>
      <c r="H6" s="101">
        <v>40000</v>
      </c>
      <c r="I6" s="101">
        <v>40001</v>
      </c>
    </row>
    <row r="7" spans="1:9" x14ac:dyDescent="0.2">
      <c r="A7" s="102">
        <v>100</v>
      </c>
      <c r="B7" s="124">
        <v>2010</v>
      </c>
      <c r="C7" s="102" t="s">
        <v>53</v>
      </c>
      <c r="D7" s="100"/>
      <c r="E7" s="100"/>
      <c r="F7" s="100"/>
      <c r="G7" s="100"/>
      <c r="H7" s="100"/>
      <c r="I7" s="100"/>
    </row>
    <row r="8" spans="1:9" x14ac:dyDescent="0.2">
      <c r="A8" s="102">
        <v>100</v>
      </c>
      <c r="B8" s="124"/>
      <c r="C8" s="102" t="s">
        <v>54</v>
      </c>
      <c r="D8" s="100"/>
      <c r="E8" s="100"/>
      <c r="F8" s="100"/>
      <c r="G8" s="100"/>
      <c r="H8" s="100"/>
      <c r="I8" s="100"/>
    </row>
    <row r="9" spans="1:9" x14ac:dyDescent="0.2">
      <c r="A9" s="100"/>
      <c r="B9" s="124"/>
      <c r="C9" s="102" t="s">
        <v>55</v>
      </c>
      <c r="D9" s="100"/>
      <c r="E9" s="100"/>
      <c r="F9" s="100"/>
      <c r="G9" s="100"/>
      <c r="H9" s="100"/>
      <c r="I9" s="100"/>
    </row>
    <row r="10" spans="1:9" x14ac:dyDescent="0.2">
      <c r="D10" s="101">
        <v>10000</v>
      </c>
      <c r="E10" s="101">
        <v>10001</v>
      </c>
      <c r="F10" s="101">
        <v>20000</v>
      </c>
      <c r="G10" s="101">
        <v>20001</v>
      </c>
      <c r="H10" s="101">
        <v>40000</v>
      </c>
      <c r="I10" s="101">
        <v>40001</v>
      </c>
    </row>
    <row r="11" spans="1:9" x14ac:dyDescent="0.2">
      <c r="A11" s="102">
        <v>100</v>
      </c>
      <c r="B11" s="124">
        <v>2011</v>
      </c>
      <c r="C11" s="102" t="s">
        <v>53</v>
      </c>
      <c r="D11" s="100"/>
      <c r="E11" s="100"/>
      <c r="F11" s="100"/>
      <c r="G11" s="100"/>
      <c r="H11" s="100"/>
      <c r="I11" s="100"/>
    </row>
    <row r="12" spans="1:9" x14ac:dyDescent="0.2">
      <c r="A12" s="102">
        <v>100</v>
      </c>
      <c r="B12" s="124"/>
      <c r="C12" s="102" t="s">
        <v>54</v>
      </c>
      <c r="D12" s="100"/>
      <c r="E12" s="100"/>
      <c r="F12" s="100"/>
      <c r="G12" s="100"/>
      <c r="H12" s="100"/>
      <c r="I12" s="100"/>
    </row>
    <row r="13" spans="1:9" x14ac:dyDescent="0.2">
      <c r="A13" s="100"/>
      <c r="B13" s="124"/>
      <c r="C13" s="102" t="s">
        <v>55</v>
      </c>
      <c r="D13" s="100"/>
      <c r="E13" s="100"/>
      <c r="F13" s="100"/>
      <c r="G13" s="100"/>
      <c r="H13" s="100"/>
      <c r="I13" s="100"/>
    </row>
    <row r="14" spans="1:9" x14ac:dyDescent="0.2">
      <c r="D14" s="101">
        <v>10000</v>
      </c>
      <c r="E14" s="101">
        <v>10001</v>
      </c>
      <c r="F14" s="101">
        <v>20000</v>
      </c>
      <c r="G14" s="101">
        <v>20001</v>
      </c>
      <c r="H14" s="101">
        <v>40000</v>
      </c>
      <c r="I14" s="101">
        <v>40001</v>
      </c>
    </row>
    <row r="15" spans="1:9" x14ac:dyDescent="0.2">
      <c r="A15" s="102">
        <v>100</v>
      </c>
      <c r="B15" s="124">
        <v>2012</v>
      </c>
      <c r="C15" s="102" t="s">
        <v>53</v>
      </c>
      <c r="D15" s="100"/>
      <c r="E15" s="100"/>
      <c r="F15" s="100"/>
      <c r="G15" s="100"/>
      <c r="H15" s="100"/>
      <c r="I15" s="100"/>
    </row>
    <row r="16" spans="1:9" x14ac:dyDescent="0.2">
      <c r="A16" s="102">
        <v>100</v>
      </c>
      <c r="B16" s="124"/>
      <c r="C16" s="102" t="s">
        <v>54</v>
      </c>
      <c r="D16" s="100"/>
      <c r="E16" s="100"/>
      <c r="F16" s="100"/>
      <c r="G16" s="100"/>
      <c r="H16" s="100"/>
      <c r="I16" s="100"/>
    </row>
    <row r="17" spans="1:9" x14ac:dyDescent="0.2">
      <c r="A17" s="100"/>
      <c r="B17" s="124"/>
      <c r="C17" s="102" t="s">
        <v>55</v>
      </c>
      <c r="D17" s="100"/>
      <c r="E17" s="100"/>
      <c r="F17" s="100"/>
      <c r="G17" s="100"/>
      <c r="H17" s="100"/>
      <c r="I17" s="100"/>
    </row>
    <row r="18" spans="1:9" x14ac:dyDescent="0.2">
      <c r="D18" s="101">
        <v>10000</v>
      </c>
      <c r="E18" s="101">
        <v>10001</v>
      </c>
      <c r="F18" s="101">
        <v>40000</v>
      </c>
      <c r="G18" s="101">
        <v>40001</v>
      </c>
      <c r="H18" s="98"/>
      <c r="I18" s="98"/>
    </row>
    <row r="19" spans="1:9" x14ac:dyDescent="0.2">
      <c r="A19" s="102">
        <v>100</v>
      </c>
      <c r="B19" s="124">
        <v>2013</v>
      </c>
      <c r="C19" s="102" t="s">
        <v>53</v>
      </c>
      <c r="D19" s="100"/>
      <c r="E19" s="100"/>
      <c r="F19" s="100"/>
      <c r="G19" s="100"/>
    </row>
    <row r="20" spans="1:9" x14ac:dyDescent="0.2">
      <c r="A20" s="102">
        <v>100</v>
      </c>
      <c r="B20" s="124"/>
      <c r="C20" s="102" t="s">
        <v>54</v>
      </c>
      <c r="D20" s="100"/>
      <c r="E20" s="100"/>
      <c r="F20" s="100"/>
      <c r="G20" s="100"/>
    </row>
    <row r="21" spans="1:9" x14ac:dyDescent="0.2">
      <c r="A21" s="100"/>
      <c r="B21" s="124"/>
      <c r="C21" s="102" t="s">
        <v>55</v>
      </c>
      <c r="D21" s="100"/>
      <c r="E21" s="100"/>
      <c r="F21" s="100"/>
      <c r="G21" s="100"/>
    </row>
    <row r="22" spans="1:9" x14ac:dyDescent="0.2">
      <c r="D22" s="101">
        <v>10000</v>
      </c>
      <c r="E22" s="101">
        <v>10001</v>
      </c>
      <c r="F22" s="101">
        <v>40000</v>
      </c>
      <c r="G22" s="101">
        <v>40001</v>
      </c>
      <c r="H22" s="98"/>
      <c r="I22" s="98"/>
    </row>
    <row r="23" spans="1:9" x14ac:dyDescent="0.2">
      <c r="A23" s="102">
        <v>123</v>
      </c>
      <c r="B23" s="124">
        <v>2014</v>
      </c>
      <c r="C23" s="102" t="s">
        <v>53</v>
      </c>
      <c r="D23" s="100"/>
      <c r="E23" s="100"/>
      <c r="F23" s="100"/>
      <c r="G23" s="100"/>
    </row>
    <row r="24" spans="1:9" x14ac:dyDescent="0.2">
      <c r="A24" s="102">
        <v>77</v>
      </c>
      <c r="B24" s="124"/>
      <c r="C24" s="102" t="s">
        <v>54</v>
      </c>
      <c r="D24" s="100"/>
      <c r="E24" s="100"/>
      <c r="F24" s="100"/>
      <c r="G24" s="100"/>
    </row>
    <row r="25" spans="1:9" x14ac:dyDescent="0.2">
      <c r="A25" s="100"/>
      <c r="B25" s="124"/>
      <c r="C25" s="102" t="s">
        <v>55</v>
      </c>
      <c r="D25" s="100"/>
      <c r="E25" s="100"/>
      <c r="F25" s="100"/>
      <c r="G25" s="100"/>
    </row>
    <row r="26" spans="1:9" x14ac:dyDescent="0.2">
      <c r="D26" s="101">
        <v>10000</v>
      </c>
      <c r="E26" s="101">
        <v>10001</v>
      </c>
      <c r="F26" s="101">
        <v>40000</v>
      </c>
      <c r="G26" s="101">
        <v>40001</v>
      </c>
      <c r="H26" s="98"/>
      <c r="I26" s="98"/>
    </row>
    <row r="27" spans="1:9" x14ac:dyDescent="0.2">
      <c r="A27" s="102">
        <v>123</v>
      </c>
      <c r="B27" s="124">
        <v>2015</v>
      </c>
      <c r="C27" s="102" t="s">
        <v>53</v>
      </c>
      <c r="D27" s="100"/>
      <c r="E27" s="100"/>
      <c r="F27" s="100"/>
      <c r="G27" s="100"/>
    </row>
    <row r="28" spans="1:9" x14ac:dyDescent="0.2">
      <c r="A28" s="102">
        <v>77</v>
      </c>
      <c r="B28" s="124"/>
      <c r="C28" s="102" t="s">
        <v>54</v>
      </c>
      <c r="D28" s="100"/>
      <c r="E28" s="100"/>
      <c r="F28" s="100"/>
      <c r="G28" s="100"/>
    </row>
    <row r="29" spans="1:9" x14ac:dyDescent="0.2">
      <c r="A29" s="100"/>
      <c r="B29" s="124"/>
      <c r="C29" s="102" t="s">
        <v>55</v>
      </c>
      <c r="D29" s="100"/>
      <c r="E29" s="100"/>
      <c r="F29" s="100"/>
      <c r="G29" s="100"/>
    </row>
    <row r="30" spans="1:9" x14ac:dyDescent="0.2">
      <c r="D30" s="101">
        <v>10000</v>
      </c>
      <c r="E30" s="101">
        <v>10001</v>
      </c>
      <c r="F30" s="101">
        <v>40000</v>
      </c>
      <c r="G30" s="101">
        <v>40001</v>
      </c>
      <c r="H30" s="98"/>
      <c r="I30" s="98"/>
    </row>
    <row r="31" spans="1:9" x14ac:dyDescent="0.2">
      <c r="A31" s="102">
        <v>123</v>
      </c>
      <c r="B31" s="124">
        <v>2016</v>
      </c>
      <c r="C31" s="102" t="s">
        <v>53</v>
      </c>
      <c r="D31" s="100"/>
      <c r="E31" s="100"/>
      <c r="F31" s="100"/>
      <c r="G31" s="100"/>
    </row>
    <row r="32" spans="1:9" x14ac:dyDescent="0.2">
      <c r="A32" s="102">
        <v>77</v>
      </c>
      <c r="B32" s="124"/>
      <c r="C32" s="102" t="s">
        <v>54</v>
      </c>
      <c r="D32" s="100"/>
      <c r="E32" s="100"/>
      <c r="F32" s="100"/>
      <c r="G32" s="100"/>
    </row>
    <row r="33" spans="1:9" x14ac:dyDescent="0.2">
      <c r="A33" s="100"/>
      <c r="B33" s="124"/>
      <c r="C33" s="102" t="s">
        <v>55</v>
      </c>
      <c r="D33" s="100"/>
      <c r="E33" s="100"/>
      <c r="F33" s="100"/>
      <c r="G33" s="100"/>
    </row>
    <row r="34" spans="1:9" x14ac:dyDescent="0.2">
      <c r="D34" s="101">
        <v>10000</v>
      </c>
      <c r="E34" s="101">
        <v>10001</v>
      </c>
      <c r="F34" s="101">
        <v>40000</v>
      </c>
      <c r="G34" s="101">
        <v>40001</v>
      </c>
      <c r="H34" s="98"/>
      <c r="I34" s="98"/>
    </row>
    <row r="35" spans="1:9" x14ac:dyDescent="0.2">
      <c r="A35" s="102">
        <v>124</v>
      </c>
      <c r="B35" s="124">
        <v>2017</v>
      </c>
      <c r="C35" s="102" t="s">
        <v>53</v>
      </c>
      <c r="D35" s="100"/>
      <c r="E35" s="100"/>
      <c r="F35" s="100"/>
      <c r="G35" s="100"/>
    </row>
    <row r="36" spans="1:9" x14ac:dyDescent="0.2">
      <c r="A36" s="102">
        <v>76</v>
      </c>
      <c r="B36" s="124"/>
      <c r="C36" s="102" t="s">
        <v>54</v>
      </c>
      <c r="D36" s="100"/>
      <c r="E36" s="100"/>
      <c r="F36" s="100"/>
      <c r="G36" s="100"/>
    </row>
    <row r="37" spans="1:9" x14ac:dyDescent="0.2">
      <c r="A37" s="100"/>
      <c r="B37" s="124"/>
      <c r="C37" s="102" t="s">
        <v>55</v>
      </c>
      <c r="D37" s="100"/>
      <c r="E37" s="100"/>
      <c r="F37" s="100"/>
      <c r="G37" s="100"/>
    </row>
    <row r="38" spans="1:9" x14ac:dyDescent="0.2">
      <c r="D38" s="101">
        <v>10000</v>
      </c>
      <c r="E38" s="101">
        <v>10001</v>
      </c>
      <c r="F38" s="101">
        <v>40000</v>
      </c>
      <c r="G38" s="101">
        <v>40001</v>
      </c>
      <c r="H38" s="98"/>
      <c r="I38" s="98"/>
    </row>
    <row r="39" spans="1:9" x14ac:dyDescent="0.2">
      <c r="A39" s="102">
        <v>125</v>
      </c>
      <c r="B39" s="124">
        <v>2018</v>
      </c>
      <c r="C39" s="102" t="s">
        <v>53</v>
      </c>
      <c r="D39" s="100"/>
      <c r="E39" s="100"/>
      <c r="F39" s="100"/>
      <c r="G39" s="100"/>
    </row>
    <row r="40" spans="1:9" x14ac:dyDescent="0.2">
      <c r="A40" s="102">
        <v>75</v>
      </c>
      <c r="B40" s="124"/>
      <c r="C40" s="102" t="s">
        <v>54</v>
      </c>
      <c r="D40" s="100"/>
      <c r="E40" s="100"/>
      <c r="F40" s="100"/>
      <c r="G40" s="100"/>
    </row>
    <row r="41" spans="1:9" x14ac:dyDescent="0.2">
      <c r="A41" s="100"/>
      <c r="B41" s="124"/>
      <c r="C41" s="102" t="s">
        <v>55</v>
      </c>
      <c r="D41" s="100"/>
      <c r="E41" s="100"/>
      <c r="F41" s="100"/>
      <c r="G41" s="100"/>
    </row>
    <row r="42" spans="1:9" x14ac:dyDescent="0.2">
      <c r="D42" s="101">
        <v>10000</v>
      </c>
      <c r="E42" s="101">
        <v>10001</v>
      </c>
      <c r="F42" s="101">
        <v>40000</v>
      </c>
      <c r="G42" s="101">
        <v>40001</v>
      </c>
      <c r="H42" s="98"/>
      <c r="I42" s="98"/>
    </row>
    <row r="43" spans="1:9" x14ac:dyDescent="0.2">
      <c r="A43" s="102">
        <v>125</v>
      </c>
      <c r="B43" s="124">
        <v>2019</v>
      </c>
      <c r="C43" s="102" t="s">
        <v>53</v>
      </c>
      <c r="D43" s="100"/>
      <c r="E43" s="100"/>
      <c r="F43" s="100"/>
      <c r="G43" s="100"/>
    </row>
    <row r="44" spans="1:9" x14ac:dyDescent="0.2">
      <c r="A44" s="102">
        <v>75</v>
      </c>
      <c r="B44" s="124"/>
      <c r="C44" s="102" t="s">
        <v>54</v>
      </c>
      <c r="D44" s="100"/>
      <c r="E44" s="100"/>
      <c r="F44" s="100"/>
      <c r="G44" s="100"/>
    </row>
    <row r="45" spans="1:9" x14ac:dyDescent="0.2">
      <c r="A45" s="100"/>
      <c r="B45" s="124"/>
      <c r="C45" s="102" t="s">
        <v>55</v>
      </c>
      <c r="D45" s="100"/>
      <c r="E45" s="100"/>
      <c r="F45" s="100"/>
      <c r="G45" s="100"/>
    </row>
    <row r="46" spans="1:9" x14ac:dyDescent="0.2">
      <c r="D46" s="101">
        <v>10000</v>
      </c>
      <c r="E46" s="101">
        <v>10001</v>
      </c>
      <c r="F46" s="101">
        <v>40000</v>
      </c>
      <c r="G46" s="101">
        <v>40001</v>
      </c>
      <c r="H46" s="98"/>
      <c r="I46" s="98"/>
    </row>
    <row r="47" spans="1:9" x14ac:dyDescent="0.2">
      <c r="A47" s="102">
        <v>125</v>
      </c>
      <c r="B47" s="124">
        <v>2020</v>
      </c>
      <c r="C47" s="102" t="s">
        <v>53</v>
      </c>
      <c r="D47" s="100"/>
      <c r="E47" s="100"/>
      <c r="F47" s="100"/>
      <c r="G47" s="100"/>
    </row>
    <row r="48" spans="1:9" x14ac:dyDescent="0.2">
      <c r="A48" s="102">
        <v>75</v>
      </c>
      <c r="B48" s="124"/>
      <c r="C48" s="102" t="s">
        <v>54</v>
      </c>
      <c r="D48" s="100"/>
      <c r="E48" s="100"/>
      <c r="F48" s="100"/>
      <c r="G48" s="100"/>
    </row>
    <row r="49" spans="1:9" x14ac:dyDescent="0.2">
      <c r="A49" s="100"/>
      <c r="B49" s="124"/>
      <c r="C49" s="102" t="s">
        <v>55</v>
      </c>
      <c r="D49" s="100"/>
      <c r="E49" s="100"/>
      <c r="F49" s="100"/>
      <c r="G49" s="100"/>
    </row>
    <row r="50" spans="1:9" x14ac:dyDescent="0.2">
      <c r="D50" s="101">
        <v>10000</v>
      </c>
      <c r="E50" s="101">
        <v>10001</v>
      </c>
      <c r="F50" s="101">
        <v>40000</v>
      </c>
      <c r="G50" s="101">
        <v>40001</v>
      </c>
      <c r="H50" s="98"/>
      <c r="I50" s="98"/>
    </row>
    <row r="51" spans="1:9" x14ac:dyDescent="0.2">
      <c r="A51" s="102">
        <v>125</v>
      </c>
      <c r="B51" s="124">
        <v>2021</v>
      </c>
      <c r="C51" s="102" t="s">
        <v>53</v>
      </c>
      <c r="D51" s="100"/>
      <c r="E51" s="100"/>
      <c r="F51" s="100"/>
      <c r="G51" s="100"/>
    </row>
    <row r="52" spans="1:9" x14ac:dyDescent="0.2">
      <c r="A52" s="102">
        <v>75</v>
      </c>
      <c r="B52" s="124"/>
      <c r="C52" s="102" t="s">
        <v>54</v>
      </c>
      <c r="D52" s="100"/>
      <c r="E52" s="100"/>
      <c r="F52" s="100"/>
      <c r="G52" s="100"/>
    </row>
    <row r="53" spans="1:9" x14ac:dyDescent="0.2">
      <c r="A53" s="100"/>
      <c r="B53" s="124"/>
      <c r="C53" s="102" t="s">
        <v>55</v>
      </c>
      <c r="D53" s="100"/>
      <c r="E53" s="100"/>
      <c r="F53" s="100"/>
      <c r="G53" s="100"/>
    </row>
    <row r="54" spans="1:9" x14ac:dyDescent="0.2">
      <c r="D54" s="101">
        <v>10000</v>
      </c>
      <c r="E54" s="101">
        <v>10001</v>
      </c>
      <c r="F54" s="101">
        <v>40000</v>
      </c>
      <c r="G54" s="101">
        <v>40001</v>
      </c>
      <c r="H54" s="98"/>
      <c r="I54" s="98"/>
    </row>
    <row r="55" spans="1:9" x14ac:dyDescent="0.2">
      <c r="A55" s="102">
        <v>125</v>
      </c>
      <c r="B55" s="124">
        <v>2022</v>
      </c>
      <c r="C55" s="102" t="s">
        <v>53</v>
      </c>
      <c r="D55" s="100"/>
      <c r="E55" s="100"/>
      <c r="F55" s="100"/>
      <c r="G55" s="100"/>
    </row>
    <row r="56" spans="1:9" x14ac:dyDescent="0.2">
      <c r="A56" s="102">
        <v>75</v>
      </c>
      <c r="B56" s="124"/>
      <c r="C56" s="102" t="s">
        <v>54</v>
      </c>
      <c r="D56" s="100"/>
      <c r="E56" s="100"/>
      <c r="F56" s="100"/>
      <c r="G56" s="100"/>
    </row>
    <row r="57" spans="1:9" x14ac:dyDescent="0.2">
      <c r="A57" s="100"/>
      <c r="B57" s="124"/>
      <c r="C57" s="102" t="s">
        <v>55</v>
      </c>
      <c r="D57" s="100"/>
      <c r="E57" s="100"/>
      <c r="F57" s="100"/>
      <c r="G57" s="100"/>
    </row>
    <row r="58" spans="1:9" x14ac:dyDescent="0.2">
      <c r="D58" s="101">
        <v>5000000</v>
      </c>
      <c r="E58" s="101">
        <v>5000001</v>
      </c>
      <c r="F58" s="101">
        <v>25000000</v>
      </c>
      <c r="G58" s="101">
        <v>40000000</v>
      </c>
      <c r="H58" s="101">
        <v>40000001</v>
      </c>
      <c r="I58" s="98"/>
    </row>
    <row r="59" spans="1:9" x14ac:dyDescent="0.2">
      <c r="A59" s="102">
        <v>125</v>
      </c>
      <c r="B59" s="124">
        <v>2023</v>
      </c>
      <c r="C59" s="102" t="s">
        <v>53</v>
      </c>
      <c r="D59" s="100"/>
      <c r="E59" s="100"/>
      <c r="F59" s="100"/>
      <c r="G59" s="100"/>
    </row>
    <row r="60" spans="1:9" x14ac:dyDescent="0.2">
      <c r="A60" s="102">
        <v>75</v>
      </c>
      <c r="B60" s="124"/>
      <c r="C60" s="102" t="s">
        <v>54</v>
      </c>
      <c r="D60" s="100"/>
      <c r="E60" s="100"/>
      <c r="F60" s="100"/>
      <c r="G60" s="100"/>
    </row>
    <row r="61" spans="1:9" x14ac:dyDescent="0.2">
      <c r="A61" s="100"/>
      <c r="B61" s="124"/>
      <c r="C61" s="102" t="s">
        <v>55</v>
      </c>
      <c r="D61" s="100"/>
      <c r="E61" s="100"/>
      <c r="F61" s="100"/>
      <c r="G61" s="100"/>
    </row>
    <row r="62" spans="1:9" x14ac:dyDescent="0.2">
      <c r="D62" s="101">
        <v>5000000</v>
      </c>
      <c r="E62" s="101">
        <v>5000001</v>
      </c>
      <c r="F62" s="101">
        <v>25000000</v>
      </c>
      <c r="G62" s="101">
        <v>40000000</v>
      </c>
      <c r="H62" s="101">
        <v>40000001</v>
      </c>
      <c r="I62" s="98"/>
    </row>
    <row r="63" spans="1:9" x14ac:dyDescent="0.2">
      <c r="A63" s="102">
        <v>125</v>
      </c>
      <c r="B63" s="124">
        <v>2024</v>
      </c>
      <c r="C63" s="102" t="s">
        <v>53</v>
      </c>
      <c r="D63" s="100"/>
      <c r="E63" s="100"/>
      <c r="F63" s="100"/>
      <c r="G63" s="100"/>
    </row>
    <row r="64" spans="1:9" x14ac:dyDescent="0.2">
      <c r="A64" s="102">
        <v>75</v>
      </c>
      <c r="B64" s="124"/>
      <c r="C64" s="102" t="s">
        <v>54</v>
      </c>
      <c r="D64" s="100"/>
      <c r="E64" s="100"/>
      <c r="F64" s="100"/>
      <c r="G64" s="100"/>
    </row>
    <row r="65" spans="1:7" x14ac:dyDescent="0.2">
      <c r="A65" s="100"/>
      <c r="B65" s="124"/>
      <c r="C65" s="102" t="s">
        <v>55</v>
      </c>
      <c r="D65" s="100"/>
      <c r="E65" s="100"/>
      <c r="F65" s="100"/>
      <c r="G65" s="100"/>
    </row>
  </sheetData>
  <mergeCells count="16">
    <mergeCell ref="B55:B57"/>
    <mergeCell ref="B59:B61"/>
    <mergeCell ref="B63:B65"/>
    <mergeCell ref="D5:I5"/>
    <mergeCell ref="B31:B33"/>
    <mergeCell ref="B35:B37"/>
    <mergeCell ref="B39:B41"/>
    <mergeCell ref="B43:B45"/>
    <mergeCell ref="B47:B49"/>
    <mergeCell ref="B51:B53"/>
    <mergeCell ref="B7:B9"/>
    <mergeCell ref="B11:B13"/>
    <mergeCell ref="B15:B17"/>
    <mergeCell ref="B19:B21"/>
    <mergeCell ref="B23:B25"/>
    <mergeCell ref="B27:B29"/>
  </mergeCells>
  <pageMargins left="0.16" right="0.16" top="0.21" bottom="0.27" header="0.16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Calculette PM</vt:lpstr>
      <vt:lpstr>Paramètres</vt:lpstr>
      <vt:lpstr>Calcul impôt</vt:lpstr>
      <vt:lpstr>Extrait Loi</vt:lpstr>
      <vt:lpstr>Protocole de test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Raphaël JOSSI;Richard.Guillet@ne.ch</dc:creator>
  <cp:lastModifiedBy>Gerber Christine</cp:lastModifiedBy>
  <cp:lastPrinted>2024-01-23T12:34:53Z</cp:lastPrinted>
  <dcterms:created xsi:type="dcterms:W3CDTF">2011-03-14T08:03:14Z</dcterms:created>
  <dcterms:modified xsi:type="dcterms:W3CDTF">2026-01-05T13:33:45Z</dcterms:modified>
</cp:coreProperties>
</file>