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P:\INTERNET\_DRUPAL\DocumentsPubliésDRUPAL\PP\DocumentsModifiesAnnuellement\"/>
    </mc:Choice>
  </mc:AlternateContent>
  <xr:revisionPtr revIDLastSave="0" documentId="8_{B1AFC701-8131-4F1F-9E6E-3D24A985A14E}" xr6:coauthVersionLast="47" xr6:coauthVersionMax="47" xr10:uidLastSave="{00000000-0000-0000-0000-000000000000}"/>
  <workbookProtection workbookAlgorithmName="SHA-512" workbookHashValue="MMyBP8sMf1vki8jxZJW+CA+cxhXKk3us11X55DdXjzF+PHPDjI9bRc5Au+U6cMR7Jo69ZKL8W0afEPVArbxLFQ==" workbookSaltValue="MzSN2nM+ZbZGb3y8DFhrVg==" workbookSpinCount="100000" lockStructure="1"/>
  <bookViews>
    <workbookView xWindow="-28920" yWindow="-120" windowWidth="29040" windowHeight="17520" tabRatio="737" xr2:uid="{00000000-000D-0000-FFFF-FFFF00000000}"/>
  </bookViews>
  <sheets>
    <sheet name="Bénéfice de liquidation" sheetId="2" r:id="rId1"/>
    <sheet name="Rachat fictif" sheetId="5" r:id="rId2"/>
    <sheet name="Communications" sheetId="7" state="hidden" r:id="rId3"/>
    <sheet name="Paramètres" sheetId="9" state="hidden" r:id="rId4"/>
    <sheet name="Modifs annuelles" sheetId="8" state="hidden" r:id="rId5"/>
  </sheets>
  <definedNames>
    <definedName name="_xlnm.Print_Area" localSheetId="0">'Bénéfice de liquidation'!$A$1:$I$62</definedName>
    <definedName name="_xlnm.Print_Area" localSheetId="2">Communications!$A$1:$H$35</definedName>
    <definedName name="_xlnm.Print_Area" localSheetId="1">'Rachat fictif'!$A$1:$I$56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84" i="9" l="1"/>
  <c r="AM85" i="9"/>
  <c r="AL84" i="9"/>
  <c r="AL46" i="9"/>
  <c r="AM46" i="9" s="1"/>
  <c r="AL47" i="9"/>
  <c r="AM47" i="9" s="1"/>
  <c r="AL48" i="9"/>
  <c r="AM48" i="9"/>
  <c r="AL49" i="9"/>
  <c r="AM49" i="9" s="1"/>
  <c r="AL50" i="9"/>
  <c r="AM50" i="9"/>
  <c r="AL51" i="9"/>
  <c r="AM51" i="9"/>
  <c r="AL52" i="9"/>
  <c r="AM52" i="9" s="1"/>
  <c r="AL53" i="9"/>
  <c r="AM53" i="9" s="1"/>
  <c r="AL54" i="9"/>
  <c r="AM54" i="9"/>
  <c r="AL55" i="9"/>
  <c r="AM55" i="9" s="1"/>
  <c r="AL56" i="9"/>
  <c r="AM56" i="9"/>
  <c r="AL57" i="9"/>
  <c r="AM57" i="9"/>
  <c r="AL58" i="9"/>
  <c r="AM58" i="9" s="1"/>
  <c r="AL59" i="9"/>
  <c r="AM59" i="9" s="1"/>
  <c r="AL60" i="9"/>
  <c r="AM60" i="9"/>
  <c r="AL61" i="9"/>
  <c r="AM61" i="9" s="1"/>
  <c r="AL62" i="9"/>
  <c r="AM62" i="9"/>
  <c r="AL63" i="9"/>
  <c r="AM63" i="9"/>
  <c r="AL64" i="9"/>
  <c r="AM64" i="9" s="1"/>
  <c r="AL65" i="9"/>
  <c r="AM65" i="9" s="1"/>
  <c r="AL66" i="9"/>
  <c r="AM66" i="9"/>
  <c r="AL67" i="9"/>
  <c r="AM67" i="9" s="1"/>
  <c r="AL68" i="9"/>
  <c r="AM68" i="9"/>
  <c r="AL69" i="9"/>
  <c r="AM69" i="9"/>
  <c r="AL70" i="9"/>
  <c r="AM70" i="9" s="1"/>
  <c r="AL71" i="9"/>
  <c r="AM71" i="9" s="1"/>
  <c r="AL72" i="9"/>
  <c r="AM72" i="9"/>
  <c r="AL73" i="9"/>
  <c r="AM73" i="9" s="1"/>
  <c r="AL74" i="9"/>
  <c r="AM74" i="9"/>
  <c r="AL75" i="9"/>
  <c r="AM75" i="9"/>
  <c r="AL76" i="9"/>
  <c r="AM76" i="9" s="1"/>
  <c r="AL77" i="9"/>
  <c r="AM77" i="9" s="1"/>
  <c r="AL78" i="9"/>
  <c r="AM78" i="9"/>
  <c r="AL79" i="9"/>
  <c r="AM79" i="9" s="1"/>
  <c r="AL80" i="9"/>
  <c r="AM80" i="9"/>
  <c r="AL81" i="9"/>
  <c r="AM81" i="9"/>
  <c r="AL82" i="9"/>
  <c r="AM82" i="9" s="1"/>
  <c r="AL83" i="9"/>
  <c r="AM83" i="9" s="1"/>
  <c r="AK46" i="9"/>
  <c r="AJ46" i="9"/>
  <c r="P41" i="9"/>
  <c r="P42" i="9"/>
  <c r="P126" i="9" l="1"/>
  <c r="Q126" i="9"/>
  <c r="R126" i="9"/>
  <c r="S126" i="9"/>
  <c r="T126" i="9"/>
  <c r="U126" i="9"/>
  <c r="V126" i="9"/>
  <c r="W126" i="9"/>
  <c r="X126" i="9"/>
  <c r="Y126" i="9"/>
  <c r="Z126" i="9"/>
  <c r="AA126" i="9"/>
  <c r="AB126" i="9"/>
  <c r="AC126" i="9"/>
  <c r="AD126" i="9"/>
  <c r="AE126" i="9"/>
  <c r="AF126" i="9"/>
  <c r="AG126" i="9"/>
  <c r="AH126" i="9"/>
  <c r="AI126" i="9"/>
  <c r="AJ126" i="9"/>
  <c r="AK126" i="9"/>
  <c r="AL126" i="9"/>
  <c r="P127" i="9"/>
  <c r="Q127" i="9"/>
  <c r="R127" i="9"/>
  <c r="S127" i="9"/>
  <c r="T127" i="9"/>
  <c r="U127" i="9"/>
  <c r="V127" i="9"/>
  <c r="W127" i="9"/>
  <c r="X127" i="9"/>
  <c r="Y127" i="9"/>
  <c r="Z127" i="9"/>
  <c r="AA127" i="9"/>
  <c r="AB127" i="9"/>
  <c r="AC127" i="9"/>
  <c r="AD127" i="9"/>
  <c r="AE127" i="9"/>
  <c r="AF127" i="9"/>
  <c r="AG127" i="9"/>
  <c r="AH127" i="9"/>
  <c r="AI127" i="9"/>
  <c r="AJ127" i="9"/>
  <c r="AK127" i="9"/>
  <c r="AL127" i="9"/>
  <c r="P128" i="9"/>
  <c r="Q128" i="9"/>
  <c r="R128" i="9"/>
  <c r="S128" i="9"/>
  <c r="T128" i="9"/>
  <c r="U128" i="9"/>
  <c r="V128" i="9"/>
  <c r="W128" i="9"/>
  <c r="X128" i="9"/>
  <c r="Y128" i="9"/>
  <c r="Z128" i="9"/>
  <c r="AA128" i="9"/>
  <c r="AB128" i="9"/>
  <c r="AC128" i="9"/>
  <c r="AD128" i="9"/>
  <c r="AE128" i="9"/>
  <c r="AF128" i="9"/>
  <c r="AG128" i="9"/>
  <c r="AH128" i="9"/>
  <c r="AI128" i="9"/>
  <c r="AJ128" i="9"/>
  <c r="AK128" i="9"/>
  <c r="AL128" i="9"/>
  <c r="B4" i="9"/>
  <c r="D48" i="5" l="1"/>
  <c r="C14" i="5"/>
  <c r="H41" i="2"/>
  <c r="C9" i="2"/>
  <c r="C15" i="2"/>
  <c r="H15" i="2"/>
  <c r="I1" i="2"/>
  <c r="I20" i="2"/>
  <c r="F20" i="2" s="1"/>
  <c r="H20" i="2" l="1"/>
  <c r="C4" i="9"/>
  <c r="H12" i="5"/>
  <c r="H10" i="5"/>
  <c r="H14" i="5"/>
  <c r="C10" i="5"/>
  <c r="B5" i="9"/>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J4" i="9"/>
  <c r="J5" i="9" s="1"/>
  <c r="J6" i="9" s="1"/>
  <c r="J7" i="9" s="1"/>
  <c r="J8" i="9" s="1"/>
  <c r="J9" i="9" s="1"/>
  <c r="J10" i="9" s="1"/>
  <c r="J11" i="9" s="1"/>
  <c r="J12" i="9" s="1"/>
  <c r="J13" i="9" s="1"/>
  <c r="AI125" i="9"/>
  <c r="AH125" i="9"/>
  <c r="AG125" i="9"/>
  <c r="AF125" i="9"/>
  <c r="AE125" i="9"/>
  <c r="AD125" i="9"/>
  <c r="AC125" i="9"/>
  <c r="AB125" i="9"/>
  <c r="AA125" i="9"/>
  <c r="Z125" i="9"/>
  <c r="Y125" i="9"/>
  <c r="X125" i="9"/>
  <c r="W125" i="9"/>
  <c r="V125" i="9"/>
  <c r="U125" i="9"/>
  <c r="T125" i="9"/>
  <c r="S125" i="9"/>
  <c r="R125" i="9"/>
  <c r="Q125" i="9"/>
  <c r="AH124" i="9"/>
  <c r="AG124" i="9"/>
  <c r="AF124" i="9"/>
  <c r="AE124" i="9"/>
  <c r="AD124" i="9"/>
  <c r="AC124" i="9"/>
  <c r="AB124" i="9"/>
  <c r="AA124" i="9"/>
  <c r="Z124" i="9"/>
  <c r="Y124" i="9"/>
  <c r="X124" i="9"/>
  <c r="W124" i="9"/>
  <c r="V124" i="9"/>
  <c r="U124" i="9"/>
  <c r="T124" i="9"/>
  <c r="S124" i="9"/>
  <c r="R124" i="9"/>
  <c r="Q124" i="9"/>
  <c r="AG123" i="9"/>
  <c r="AF123" i="9"/>
  <c r="AE123" i="9"/>
  <c r="AD123" i="9"/>
  <c r="AC123" i="9"/>
  <c r="AB123" i="9"/>
  <c r="AA123" i="9"/>
  <c r="Z123" i="9"/>
  <c r="Y123" i="9"/>
  <c r="X123" i="9"/>
  <c r="W123" i="9"/>
  <c r="V123" i="9"/>
  <c r="U123" i="9"/>
  <c r="T123" i="9"/>
  <c r="S123" i="9"/>
  <c r="R123" i="9"/>
  <c r="Q123" i="9"/>
  <c r="AF122" i="9"/>
  <c r="AE122" i="9"/>
  <c r="AD122" i="9"/>
  <c r="AC122" i="9"/>
  <c r="AB122" i="9"/>
  <c r="AA122" i="9"/>
  <c r="Z122" i="9"/>
  <c r="Y122" i="9"/>
  <c r="X122" i="9"/>
  <c r="W122" i="9"/>
  <c r="V122" i="9"/>
  <c r="U122" i="9"/>
  <c r="T122" i="9"/>
  <c r="S122" i="9"/>
  <c r="R122" i="9"/>
  <c r="Q122" i="9"/>
  <c r="AE121" i="9"/>
  <c r="AD121" i="9"/>
  <c r="AC121" i="9"/>
  <c r="AB121" i="9"/>
  <c r="AA121" i="9"/>
  <c r="Z121" i="9"/>
  <c r="Y121" i="9"/>
  <c r="X121" i="9"/>
  <c r="W121" i="9"/>
  <c r="V121" i="9"/>
  <c r="U121" i="9"/>
  <c r="T121" i="9"/>
  <c r="S121" i="9"/>
  <c r="R121" i="9"/>
  <c r="Q121" i="9"/>
  <c r="AD120" i="9"/>
  <c r="AC120" i="9"/>
  <c r="AB120" i="9"/>
  <c r="AA120" i="9"/>
  <c r="Z120" i="9"/>
  <c r="Y120" i="9"/>
  <c r="X120" i="9"/>
  <c r="W120" i="9"/>
  <c r="V120" i="9"/>
  <c r="U120" i="9"/>
  <c r="T120" i="9"/>
  <c r="S120" i="9"/>
  <c r="R120" i="9"/>
  <c r="Q120" i="9"/>
  <c r="AC119" i="9"/>
  <c r="AB119" i="9"/>
  <c r="AA119" i="9"/>
  <c r="Z119" i="9"/>
  <c r="Y119" i="9"/>
  <c r="X119" i="9"/>
  <c r="W119" i="9"/>
  <c r="V119" i="9"/>
  <c r="U119" i="9"/>
  <c r="T119" i="9"/>
  <c r="S119" i="9"/>
  <c r="R119" i="9"/>
  <c r="Q119" i="9"/>
  <c r="AB118" i="9"/>
  <c r="AA118" i="9"/>
  <c r="Z118" i="9"/>
  <c r="Y118" i="9"/>
  <c r="X118" i="9"/>
  <c r="W118" i="9"/>
  <c r="V118" i="9"/>
  <c r="U118" i="9"/>
  <c r="T118" i="9"/>
  <c r="S118" i="9"/>
  <c r="R118" i="9"/>
  <c r="Q118" i="9"/>
  <c r="AA117" i="9"/>
  <c r="Z117" i="9"/>
  <c r="Y117" i="9"/>
  <c r="X117" i="9"/>
  <c r="W117" i="9"/>
  <c r="V117" i="9"/>
  <c r="U117" i="9"/>
  <c r="T117" i="9"/>
  <c r="S117" i="9"/>
  <c r="R117" i="9"/>
  <c r="Q117" i="9"/>
  <c r="Z116" i="9"/>
  <c r="Y116" i="9"/>
  <c r="X116" i="9"/>
  <c r="W116" i="9"/>
  <c r="V116" i="9"/>
  <c r="U116" i="9"/>
  <c r="T116" i="9"/>
  <c r="S116" i="9"/>
  <c r="R116" i="9"/>
  <c r="Q116" i="9"/>
  <c r="Y115" i="9"/>
  <c r="X115" i="9"/>
  <c r="W115" i="9"/>
  <c r="V115" i="9"/>
  <c r="U115" i="9"/>
  <c r="T115" i="9"/>
  <c r="S115" i="9"/>
  <c r="R115" i="9"/>
  <c r="Q115" i="9"/>
  <c r="X114" i="9"/>
  <c r="W114" i="9"/>
  <c r="V114" i="9"/>
  <c r="U114" i="9"/>
  <c r="T114" i="9"/>
  <c r="S114" i="9"/>
  <c r="R114" i="9"/>
  <c r="Q114" i="9"/>
  <c r="W113" i="9"/>
  <c r="V113" i="9"/>
  <c r="U113" i="9"/>
  <c r="T113" i="9"/>
  <c r="S113" i="9"/>
  <c r="R113" i="9"/>
  <c r="Q113" i="9"/>
  <c r="V112" i="9"/>
  <c r="U112" i="9"/>
  <c r="T112" i="9"/>
  <c r="S112" i="9"/>
  <c r="R112" i="9"/>
  <c r="Q112" i="9"/>
  <c r="U111" i="9"/>
  <c r="T111" i="9"/>
  <c r="S111" i="9"/>
  <c r="R111" i="9"/>
  <c r="Q111" i="9"/>
  <c r="S110" i="9"/>
  <c r="R110" i="9"/>
  <c r="Q110" i="9"/>
  <c r="S109" i="9"/>
  <c r="R109" i="9"/>
  <c r="Q109" i="9"/>
  <c r="R108" i="9"/>
  <c r="Q108" i="9"/>
  <c r="Q107" i="9"/>
  <c r="Q106" i="9"/>
  <c r="Q105" i="9"/>
  <c r="Q104" i="9"/>
  <c r="Q103" i="9"/>
  <c r="Q102" i="9"/>
  <c r="Q101" i="9"/>
  <c r="Q100" i="9"/>
  <c r="Q99" i="9"/>
  <c r="Q98" i="9"/>
  <c r="Q97" i="9"/>
  <c r="Q96" i="9"/>
  <c r="Q95" i="9"/>
  <c r="Q94" i="9"/>
  <c r="Q93" i="9"/>
  <c r="Q92" i="9"/>
  <c r="Q91" i="9"/>
  <c r="P91" i="9"/>
  <c r="P92" i="9" s="1"/>
  <c r="P93" i="9" s="1"/>
  <c r="P94" i="9" s="1"/>
  <c r="P95" i="9" s="1"/>
  <c r="P96" i="9" s="1"/>
  <c r="P97" i="9" s="1"/>
  <c r="P98" i="9" s="1"/>
  <c r="P99" i="9" s="1"/>
  <c r="P100" i="9" s="1"/>
  <c r="P101" i="9" s="1"/>
  <c r="P102" i="9" s="1"/>
  <c r="P103" i="9" s="1"/>
  <c r="P104" i="9" s="1"/>
  <c r="P105" i="9" s="1"/>
  <c r="P106" i="9" s="1"/>
  <c r="P107" i="9" s="1"/>
  <c r="P108" i="9" s="1"/>
  <c r="P109" i="9" s="1"/>
  <c r="P110" i="9" s="1"/>
  <c r="P111" i="9" s="1"/>
  <c r="P112" i="9" s="1"/>
  <c r="P113" i="9" s="1"/>
  <c r="P114" i="9" s="1"/>
  <c r="P115" i="9" s="1"/>
  <c r="P116" i="9" s="1"/>
  <c r="P117" i="9" s="1"/>
  <c r="P118" i="9" s="1"/>
  <c r="P119" i="9" s="1"/>
  <c r="P120" i="9" s="1"/>
  <c r="P121" i="9" s="1"/>
  <c r="P122" i="9" s="1"/>
  <c r="P123" i="9" s="1"/>
  <c r="P124" i="9" s="1"/>
  <c r="P125" i="9" s="1"/>
  <c r="Q90" i="9"/>
  <c r="Q89" i="9"/>
  <c r="P48" i="9"/>
  <c r="P49" i="9" s="1"/>
  <c r="P50" i="9" s="1"/>
  <c r="P51" i="9" s="1"/>
  <c r="P52" i="9" s="1"/>
  <c r="P53" i="9" s="1"/>
  <c r="P54" i="9" s="1"/>
  <c r="P55" i="9" s="1"/>
  <c r="P56" i="9" s="1"/>
  <c r="P57" i="9" s="1"/>
  <c r="P58" i="9" s="1"/>
  <c r="P59" i="9" s="1"/>
  <c r="P60" i="9" s="1"/>
  <c r="P61" i="9" s="1"/>
  <c r="P62" i="9" s="1"/>
  <c r="P63" i="9" s="1"/>
  <c r="P64" i="9" s="1"/>
  <c r="P65" i="9" s="1"/>
  <c r="P66" i="9" s="1"/>
  <c r="P67" i="9" s="1"/>
  <c r="P68" i="9" s="1"/>
  <c r="P69" i="9" s="1"/>
  <c r="P70" i="9" s="1"/>
  <c r="P71" i="9" s="1"/>
  <c r="P72" i="9" s="1"/>
  <c r="P73" i="9" s="1"/>
  <c r="P74" i="9" s="1"/>
  <c r="P75" i="9" s="1"/>
  <c r="P76" i="9" s="1"/>
  <c r="P77" i="9" s="1"/>
  <c r="P78" i="9" s="1"/>
  <c r="P79" i="9" s="1"/>
  <c r="P80" i="9" s="1"/>
  <c r="P81" i="9" s="1"/>
  <c r="P82" i="9" s="1"/>
  <c r="P83" i="9" s="1"/>
  <c r="P5" i="9"/>
  <c r="P6" i="9" s="1"/>
  <c r="P7" i="9" s="1"/>
  <c r="P8" i="9" s="1"/>
  <c r="P9" i="9" s="1"/>
  <c r="P10" i="9" s="1"/>
  <c r="P11" i="9" s="1"/>
  <c r="P12" i="9" s="1"/>
  <c r="P13" i="9" s="1"/>
  <c r="P14" i="9" s="1"/>
  <c r="P15" i="9" s="1"/>
  <c r="P16" i="9" s="1"/>
  <c r="P17" i="9" s="1"/>
  <c r="P18" i="9" s="1"/>
  <c r="P19" i="9" s="1"/>
  <c r="P20" i="9" s="1"/>
  <c r="P21" i="9" s="1"/>
  <c r="P22" i="9" s="1"/>
  <c r="P23" i="9" s="1"/>
  <c r="P24" i="9" s="1"/>
  <c r="P25" i="9" s="1"/>
  <c r="P26" i="9" s="1"/>
  <c r="P27" i="9" s="1"/>
  <c r="P28" i="9" s="1"/>
  <c r="P29" i="9" s="1"/>
  <c r="P30" i="9" s="1"/>
  <c r="P31" i="9" s="1"/>
  <c r="P32" i="9" s="1"/>
  <c r="P33" i="9" s="1"/>
  <c r="P34" i="9" s="1"/>
  <c r="P35" i="9" s="1"/>
  <c r="P36" i="9" s="1"/>
  <c r="P37" i="9" s="1"/>
  <c r="P38" i="9" s="1"/>
  <c r="P39" i="9" s="1"/>
  <c r="P40" i="9" s="1"/>
  <c r="H25" i="5" l="1"/>
  <c r="I34" i="5"/>
  <c r="H45" i="5" s="1"/>
  <c r="I45" i="5" s="1"/>
  <c r="J14" i="9"/>
  <c r="X70" i="9"/>
  <c r="R58" i="9"/>
  <c r="S58" i="9" s="1"/>
  <c r="T58" i="9" s="1"/>
  <c r="U58" i="9" s="1"/>
  <c r="V58" i="9" s="1"/>
  <c r="W58" i="9" s="1"/>
  <c r="X58" i="9" s="1"/>
  <c r="Y58" i="9" s="1"/>
  <c r="Z58" i="9" s="1"/>
  <c r="R46" i="9"/>
  <c r="S46" i="9" s="1"/>
  <c r="T46" i="9" s="1"/>
  <c r="U46" i="9" s="1"/>
  <c r="V46" i="9" s="1"/>
  <c r="W46" i="9" s="1"/>
  <c r="X46" i="9" s="1"/>
  <c r="Y46" i="9" s="1"/>
  <c r="Z46" i="9" s="1"/>
  <c r="AA46" i="9" s="1"/>
  <c r="W69" i="9"/>
  <c r="R57" i="9"/>
  <c r="T66" i="9"/>
  <c r="U66" i="9" s="1"/>
  <c r="V66" i="9" s="1"/>
  <c r="W66" i="9" s="1"/>
  <c r="X66" i="9" s="1"/>
  <c r="Y66" i="9" s="1"/>
  <c r="Z66" i="9" s="1"/>
  <c r="R48" i="9"/>
  <c r="S48" i="9" s="1"/>
  <c r="T48" i="9" s="1"/>
  <c r="U48" i="9" s="1"/>
  <c r="V48" i="9" s="1"/>
  <c r="W48" i="9" s="1"/>
  <c r="X48" i="9" s="1"/>
  <c r="Y48" i="9" s="1"/>
  <c r="Z48" i="9" s="1"/>
  <c r="V68" i="9"/>
  <c r="R56" i="9"/>
  <c r="S56" i="9" s="1"/>
  <c r="U67" i="9"/>
  <c r="V67" i="9" s="1"/>
  <c r="W67" i="9" s="1"/>
  <c r="X67" i="9" s="1"/>
  <c r="Y67" i="9" s="1"/>
  <c r="Z67" i="9" s="1"/>
  <c r="R64" i="9"/>
  <c r="R52" i="9"/>
  <c r="S52" i="9" s="1"/>
  <c r="T52" i="9" s="1"/>
  <c r="U52" i="9" s="1"/>
  <c r="V52" i="9" s="1"/>
  <c r="W52" i="9" s="1"/>
  <c r="X52" i="9" s="1"/>
  <c r="Y52" i="9" s="1"/>
  <c r="Z52" i="9" s="1"/>
  <c r="R51" i="9"/>
  <c r="S51" i="9" s="1"/>
  <c r="T51" i="9" s="1"/>
  <c r="U51" i="9" s="1"/>
  <c r="V51" i="9" s="1"/>
  <c r="W51" i="9" s="1"/>
  <c r="X51" i="9" s="1"/>
  <c r="Y51" i="9" s="1"/>
  <c r="Z51" i="9" s="1"/>
  <c r="R50" i="9"/>
  <c r="S50" i="9" s="1"/>
  <c r="T50" i="9" s="1"/>
  <c r="U50" i="9" s="1"/>
  <c r="V50" i="9" s="1"/>
  <c r="W50" i="9" s="1"/>
  <c r="X50" i="9" s="1"/>
  <c r="Y50" i="9" s="1"/>
  <c r="Z50" i="9" s="1"/>
  <c r="Z72" i="9"/>
  <c r="AA72" i="9" s="1"/>
  <c r="R61" i="9"/>
  <c r="S61" i="9" s="1"/>
  <c r="T61" i="9" s="1"/>
  <c r="U61" i="9" s="1"/>
  <c r="V61" i="9" s="1"/>
  <c r="W61" i="9" s="1"/>
  <c r="X61" i="9" s="1"/>
  <c r="Y61" i="9" s="1"/>
  <c r="Z61" i="9" s="1"/>
  <c r="AA61" i="9" s="1"/>
  <c r="R49" i="9"/>
  <c r="S49" i="9" s="1"/>
  <c r="T49" i="9" s="1"/>
  <c r="U49" i="9" s="1"/>
  <c r="V49" i="9" s="1"/>
  <c r="W49" i="9" s="1"/>
  <c r="X49" i="9" s="1"/>
  <c r="Y49" i="9" s="1"/>
  <c r="Z49" i="9" s="1"/>
  <c r="AA49" i="9" s="1"/>
  <c r="Y71" i="9"/>
  <c r="R47" i="9"/>
  <c r="S47" i="9" s="1"/>
  <c r="T47" i="9" s="1"/>
  <c r="U47" i="9" s="1"/>
  <c r="V47" i="9" s="1"/>
  <c r="W47" i="9" s="1"/>
  <c r="X47" i="9" s="1"/>
  <c r="Y47" i="9" s="1"/>
  <c r="Z47" i="9" s="1"/>
  <c r="AA47" i="9" s="1"/>
  <c r="R63" i="9"/>
  <c r="S63" i="9" s="1"/>
  <c r="T63" i="9" s="1"/>
  <c r="U63" i="9" s="1"/>
  <c r="V63" i="9" s="1"/>
  <c r="W63" i="9" s="1"/>
  <c r="X63" i="9" s="1"/>
  <c r="Y63" i="9" s="1"/>
  <c r="Z63" i="9" s="1"/>
  <c r="AA63" i="9" s="1"/>
  <c r="R62" i="9"/>
  <c r="F48" i="5"/>
  <c r="C5" i="9"/>
  <c r="C6" i="9" s="1"/>
  <c r="C7" i="9" s="1"/>
  <c r="C8" i="9" s="1"/>
  <c r="C9" i="9" s="1"/>
  <c r="C10" i="9" s="1"/>
  <c r="C11" i="9" s="1"/>
  <c r="C12" i="9" s="1"/>
  <c r="C13" i="9" s="1"/>
  <c r="C14" i="9" s="1"/>
  <c r="C15" i="9" s="1"/>
  <c r="T110" i="9"/>
  <c r="R53" i="9" l="1"/>
  <c r="Z115" i="9"/>
  <c r="R93" i="9"/>
  <c r="R60" i="9"/>
  <c r="S60" i="9" s="1"/>
  <c r="T60" i="9" s="1"/>
  <c r="U60" i="9" s="1"/>
  <c r="V60" i="9" s="1"/>
  <c r="W60" i="9" s="1"/>
  <c r="X60" i="9" s="1"/>
  <c r="Y60" i="9" s="1"/>
  <c r="Z60" i="9" s="1"/>
  <c r="AA60" i="9" s="1"/>
  <c r="J15" i="9"/>
  <c r="J16" i="9" s="1"/>
  <c r="J17" i="9" s="1"/>
  <c r="J18" i="9" s="1"/>
  <c r="J19" i="9" s="1"/>
  <c r="J20" i="9" s="1"/>
  <c r="AG79" i="9" s="1"/>
  <c r="R55" i="9"/>
  <c r="R98" i="9" s="1"/>
  <c r="S65" i="9"/>
  <c r="T65" i="9" s="1"/>
  <c r="U65" i="9" s="1"/>
  <c r="V65" i="9" s="1"/>
  <c r="W65" i="9" s="1"/>
  <c r="X65" i="9" s="1"/>
  <c r="Y65" i="9" s="1"/>
  <c r="Z65" i="9" s="1"/>
  <c r="AA65" i="9" s="1"/>
  <c r="AB65" i="9" s="1"/>
  <c r="AC65" i="9" s="1"/>
  <c r="AD65" i="9" s="1"/>
  <c r="AE65" i="9" s="1"/>
  <c r="AF65" i="9" s="1"/>
  <c r="AG65" i="9" s="1"/>
  <c r="AB61" i="9"/>
  <c r="AC61" i="9" s="1"/>
  <c r="AD61" i="9" s="1"/>
  <c r="AE61" i="9" s="1"/>
  <c r="AF61" i="9" s="1"/>
  <c r="AG61" i="9" s="1"/>
  <c r="AB47" i="9"/>
  <c r="AC47" i="9" s="1"/>
  <c r="AD47" i="9" s="1"/>
  <c r="AE47" i="9" s="1"/>
  <c r="AF47" i="9" s="1"/>
  <c r="AG47" i="9" s="1"/>
  <c r="R59" i="9"/>
  <c r="S59" i="9" s="1"/>
  <c r="T59" i="9" s="1"/>
  <c r="U59" i="9" s="1"/>
  <c r="V59" i="9" s="1"/>
  <c r="W59" i="9" s="1"/>
  <c r="X59" i="9" s="1"/>
  <c r="Y59" i="9" s="1"/>
  <c r="Z59" i="9" s="1"/>
  <c r="AA59" i="9" s="1"/>
  <c r="R54" i="9"/>
  <c r="S54" i="9" s="1"/>
  <c r="R99" i="9"/>
  <c r="S93" i="9"/>
  <c r="U109" i="9"/>
  <c r="U110" i="9"/>
  <c r="I35" i="5"/>
  <c r="I36" i="5" s="1"/>
  <c r="H24" i="5"/>
  <c r="H23" i="5" s="1"/>
  <c r="H22" i="5" s="1"/>
  <c r="H21" i="5" s="1"/>
  <c r="AA115" i="9"/>
  <c r="S106" i="9"/>
  <c r="T109" i="9"/>
  <c r="S94" i="9"/>
  <c r="AA67" i="9"/>
  <c r="R94" i="9"/>
  <c r="AA73" i="9"/>
  <c r="S101" i="9"/>
  <c r="R101" i="9"/>
  <c r="AA51" i="9"/>
  <c r="AA48" i="9"/>
  <c r="R103" i="9"/>
  <c r="AA52" i="9"/>
  <c r="AA66" i="9"/>
  <c r="AB66" i="9" s="1"/>
  <c r="AC66" i="9" s="1"/>
  <c r="AD66" i="9" s="1"/>
  <c r="AE66" i="9" s="1"/>
  <c r="AF66" i="9" s="1"/>
  <c r="AG66" i="9" s="1"/>
  <c r="AB74" i="9"/>
  <c r="AC74" i="9" s="1"/>
  <c r="AD74" i="9" s="1"/>
  <c r="AE74" i="9" s="1"/>
  <c r="AF74" i="9" s="1"/>
  <c r="AG74" i="9" s="1"/>
  <c r="AA58" i="9"/>
  <c r="AB58" i="9" s="1"/>
  <c r="AC58" i="9" s="1"/>
  <c r="AD58" i="9" s="1"/>
  <c r="AE58" i="9" s="1"/>
  <c r="AF58" i="9" s="1"/>
  <c r="AG58" i="9" s="1"/>
  <c r="R89" i="9"/>
  <c r="AA50" i="9"/>
  <c r="T95" i="9"/>
  <c r="R95" i="9"/>
  <c r="S91" i="9"/>
  <c r="R91" i="9"/>
  <c r="R106" i="9"/>
  <c r="R92" i="9"/>
  <c r="S103" i="9"/>
  <c r="R90" i="9"/>
  <c r="R104" i="9"/>
  <c r="S57" i="9"/>
  <c r="T57" i="9" s="1"/>
  <c r="U57" i="9" s="1"/>
  <c r="V57" i="9" s="1"/>
  <c r="W57" i="9" s="1"/>
  <c r="X57" i="9" s="1"/>
  <c r="Y57" i="9" s="1"/>
  <c r="Z57" i="9" s="1"/>
  <c r="AA57" i="9" s="1"/>
  <c r="AB57" i="9" s="1"/>
  <c r="AC57" i="9" s="1"/>
  <c r="AD57" i="9" s="1"/>
  <c r="AE57" i="9" s="1"/>
  <c r="AF57" i="9" s="1"/>
  <c r="AG57" i="9" s="1"/>
  <c r="R100" i="9"/>
  <c r="S104" i="9"/>
  <c r="S92" i="9"/>
  <c r="S90" i="9"/>
  <c r="Z71" i="9"/>
  <c r="AA71" i="9" s="1"/>
  <c r="Y114" i="9"/>
  <c r="S64" i="9"/>
  <c r="T64" i="9" s="1"/>
  <c r="R107" i="9"/>
  <c r="X69" i="9"/>
  <c r="Y69" i="9" s="1"/>
  <c r="Z69" i="9" s="1"/>
  <c r="AA69" i="9" s="1"/>
  <c r="AB69" i="9" s="1"/>
  <c r="AC69" i="9" s="1"/>
  <c r="AD69" i="9" s="1"/>
  <c r="AE69" i="9" s="1"/>
  <c r="AF69" i="9" s="1"/>
  <c r="AG69" i="9" s="1"/>
  <c r="W112" i="9"/>
  <c r="S53" i="9"/>
  <c r="T53" i="9" s="1"/>
  <c r="U53" i="9" s="1"/>
  <c r="V53" i="9" s="1"/>
  <c r="W53" i="9" s="1"/>
  <c r="X53" i="9" s="1"/>
  <c r="Y53" i="9" s="1"/>
  <c r="Z53" i="9" s="1"/>
  <c r="AA53" i="9" s="1"/>
  <c r="AB53" i="9" s="1"/>
  <c r="AC53" i="9" s="1"/>
  <c r="AD53" i="9" s="1"/>
  <c r="AE53" i="9" s="1"/>
  <c r="AF53" i="9" s="1"/>
  <c r="AG53" i="9" s="1"/>
  <c r="R96" i="9"/>
  <c r="S95" i="9"/>
  <c r="S62" i="9"/>
  <c r="T62" i="9" s="1"/>
  <c r="R105" i="9"/>
  <c r="T56" i="9"/>
  <c r="U56" i="9" s="1"/>
  <c r="S99" i="9"/>
  <c r="Y70" i="9"/>
  <c r="Z70" i="9" s="1"/>
  <c r="AA70" i="9" s="1"/>
  <c r="X113" i="9"/>
  <c r="W68" i="9"/>
  <c r="V111" i="9"/>
  <c r="T90" i="9"/>
  <c r="V109" i="9"/>
  <c r="V110" i="9"/>
  <c r="W109" i="9"/>
  <c r="T104" i="9"/>
  <c r="T91" i="9"/>
  <c r="T93" i="9"/>
  <c r="U90" i="9"/>
  <c r="T101" i="9"/>
  <c r="T94" i="9"/>
  <c r="T106" i="9"/>
  <c r="T103" i="9"/>
  <c r="T92" i="9"/>
  <c r="S89" i="9"/>
  <c r="AB50" i="9" l="1"/>
  <c r="AC50" i="9" s="1"/>
  <c r="AD50" i="9" s="1"/>
  <c r="AE50" i="9" s="1"/>
  <c r="AF50" i="9" s="1"/>
  <c r="AG50" i="9" s="1"/>
  <c r="AB70" i="9"/>
  <c r="AC70" i="9" s="1"/>
  <c r="AD70" i="9" s="1"/>
  <c r="AE70" i="9" s="1"/>
  <c r="AF70" i="9" s="1"/>
  <c r="AG70" i="9" s="1"/>
  <c r="AB51" i="9"/>
  <c r="AC51" i="9" s="1"/>
  <c r="AD51" i="9" s="1"/>
  <c r="AE51" i="9" s="1"/>
  <c r="AF51" i="9" s="1"/>
  <c r="AG51" i="9" s="1"/>
  <c r="AB71" i="9"/>
  <c r="AC71" i="9" s="1"/>
  <c r="AD71" i="9" s="1"/>
  <c r="AE71" i="9" s="1"/>
  <c r="AF71" i="9" s="1"/>
  <c r="AG71" i="9" s="1"/>
  <c r="AD76" i="9"/>
  <c r="AE76" i="9" s="1"/>
  <c r="AF76" i="9" s="1"/>
  <c r="AG76" i="9" s="1"/>
  <c r="J21" i="9"/>
  <c r="J22" i="9" s="1"/>
  <c r="J23" i="9" s="1"/>
  <c r="AF78" i="9"/>
  <c r="AG78" i="9" s="1"/>
  <c r="AH78" i="9" s="1"/>
  <c r="AI78" i="9" s="1"/>
  <c r="AJ78" i="9" s="1"/>
  <c r="AB52" i="9"/>
  <c r="AC52" i="9" s="1"/>
  <c r="AD52" i="9" s="1"/>
  <c r="AE52" i="9" s="1"/>
  <c r="AF52" i="9" s="1"/>
  <c r="AG52" i="9" s="1"/>
  <c r="AH52" i="9" s="1"/>
  <c r="AI52" i="9" s="1"/>
  <c r="AJ52" i="9" s="1"/>
  <c r="U108" i="9"/>
  <c r="AB48" i="9"/>
  <c r="AC48" i="9" s="1"/>
  <c r="AD48" i="9" s="1"/>
  <c r="AE48" i="9" s="1"/>
  <c r="AF48" i="9" s="1"/>
  <c r="AG48" i="9" s="1"/>
  <c r="AB67" i="9"/>
  <c r="AC67" i="9" s="1"/>
  <c r="AD67" i="9" s="1"/>
  <c r="AE67" i="9" s="1"/>
  <c r="AF67" i="9" s="1"/>
  <c r="AG67" i="9" s="1"/>
  <c r="AB46" i="9"/>
  <c r="AC46" i="9" s="1"/>
  <c r="AD46" i="9" s="1"/>
  <c r="AE46" i="9" s="1"/>
  <c r="AF46" i="9" s="1"/>
  <c r="AG46" i="9" s="1"/>
  <c r="S55" i="9"/>
  <c r="T55" i="9" s="1"/>
  <c r="U55" i="9" s="1"/>
  <c r="V55" i="9" s="1"/>
  <c r="W55" i="9" s="1"/>
  <c r="X55" i="9" s="1"/>
  <c r="Y55" i="9" s="1"/>
  <c r="Z55" i="9" s="1"/>
  <c r="AA55" i="9" s="1"/>
  <c r="AB55" i="9" s="1"/>
  <c r="AC55" i="9" s="1"/>
  <c r="AD55" i="9" s="1"/>
  <c r="AE55" i="9" s="1"/>
  <c r="AF55" i="9" s="1"/>
  <c r="AG55" i="9" s="1"/>
  <c r="AC75" i="9"/>
  <c r="AC118" i="9" s="1"/>
  <c r="AB72" i="9"/>
  <c r="T108" i="9"/>
  <c r="AB73" i="9"/>
  <c r="AC73" i="9" s="1"/>
  <c r="AD73" i="9" s="1"/>
  <c r="AE73" i="9" s="1"/>
  <c r="AF73" i="9" s="1"/>
  <c r="AG73" i="9" s="1"/>
  <c r="AB63" i="9"/>
  <c r="AC63" i="9" s="1"/>
  <c r="AD63" i="9" s="1"/>
  <c r="AE63" i="9" s="1"/>
  <c r="AF63" i="9" s="1"/>
  <c r="AG63" i="9" s="1"/>
  <c r="AH63" i="9" s="1"/>
  <c r="AI63" i="9" s="1"/>
  <c r="AJ63" i="9" s="1"/>
  <c r="S108" i="9"/>
  <c r="AB60" i="9"/>
  <c r="AC60" i="9" s="1"/>
  <c r="AD60" i="9" s="1"/>
  <c r="AE60" i="9" s="1"/>
  <c r="AF60" i="9" s="1"/>
  <c r="AG60" i="9" s="1"/>
  <c r="AH60" i="9" s="1"/>
  <c r="AI60" i="9" s="1"/>
  <c r="AJ60" i="9" s="1"/>
  <c r="AE77" i="9"/>
  <c r="AF77" i="9" s="1"/>
  <c r="AG77" i="9" s="1"/>
  <c r="AB59" i="9"/>
  <c r="AC59" i="9" s="1"/>
  <c r="AD59" i="9" s="1"/>
  <c r="AE59" i="9" s="1"/>
  <c r="AF59" i="9" s="1"/>
  <c r="AG59" i="9" s="1"/>
  <c r="AB49" i="9"/>
  <c r="AC49" i="9" s="1"/>
  <c r="AD49" i="9" s="1"/>
  <c r="AE49" i="9" s="1"/>
  <c r="AF49" i="9" s="1"/>
  <c r="AG49" i="9" s="1"/>
  <c r="R97" i="9"/>
  <c r="R102" i="9"/>
  <c r="AA116" i="9"/>
  <c r="AD117" i="9"/>
  <c r="AC117" i="9"/>
  <c r="AB117" i="9"/>
  <c r="T99" i="9"/>
  <c r="X112" i="9"/>
  <c r="T100" i="9"/>
  <c r="S105" i="9"/>
  <c r="S100" i="9"/>
  <c r="U100" i="9"/>
  <c r="S107" i="9"/>
  <c r="T54" i="9"/>
  <c r="S97" i="9"/>
  <c r="S96" i="9"/>
  <c r="X68" i="9"/>
  <c r="W111" i="9"/>
  <c r="U64" i="9"/>
  <c r="T107" i="9"/>
  <c r="V56" i="9"/>
  <c r="U99" i="9"/>
  <c r="Z114" i="9"/>
  <c r="U62" i="9"/>
  <c r="T105" i="9"/>
  <c r="S102" i="9"/>
  <c r="Y113" i="9"/>
  <c r="U95" i="9"/>
  <c r="T96" i="9"/>
  <c r="Y112" i="9"/>
  <c r="T102" i="9"/>
  <c r="AA114" i="9"/>
  <c r="Z113" i="9"/>
  <c r="W110" i="9"/>
  <c r="X109" i="9"/>
  <c r="V108" i="9"/>
  <c r="T98" i="9"/>
  <c r="V100" i="9"/>
  <c r="V90" i="9"/>
  <c r="U93" i="9"/>
  <c r="U106" i="9"/>
  <c r="U91" i="9"/>
  <c r="U92" i="9"/>
  <c r="U94" i="9"/>
  <c r="U101" i="9"/>
  <c r="U104" i="9"/>
  <c r="U103" i="9"/>
  <c r="T89" i="9"/>
  <c r="AG122" i="9"/>
  <c r="AE117" i="9"/>
  <c r="AF117" i="9"/>
  <c r="AB116" i="9" l="1"/>
  <c r="AE120" i="9"/>
  <c r="AD119" i="9"/>
  <c r="AE119" i="9"/>
  <c r="AD116" i="9"/>
  <c r="AH55" i="9"/>
  <c r="AI55" i="9" s="1"/>
  <c r="AJ55" i="9" s="1"/>
  <c r="AH46" i="9"/>
  <c r="AI46" i="9" s="1"/>
  <c r="AH59" i="9"/>
  <c r="AI59" i="9" s="1"/>
  <c r="AJ59" i="9" s="1"/>
  <c r="AH77" i="9"/>
  <c r="AI77" i="9" s="1"/>
  <c r="AJ77" i="9" s="1"/>
  <c r="AK77" i="9" s="1"/>
  <c r="AH73" i="9"/>
  <c r="AI73" i="9" s="1"/>
  <c r="AJ73" i="9" s="1"/>
  <c r="AH74" i="9"/>
  <c r="AI74" i="9" s="1"/>
  <c r="AJ74" i="9" s="1"/>
  <c r="AC116" i="9"/>
  <c r="AH70" i="9"/>
  <c r="AI70" i="9" s="1"/>
  <c r="AJ70" i="9" s="1"/>
  <c r="AH79" i="9"/>
  <c r="AI79" i="9" s="1"/>
  <c r="AJ79" i="9" s="1"/>
  <c r="AH58" i="9"/>
  <c r="AI58" i="9" s="1"/>
  <c r="AJ58" i="9" s="1"/>
  <c r="AH65" i="9"/>
  <c r="AI65" i="9" s="1"/>
  <c r="AJ65" i="9" s="1"/>
  <c r="AH49" i="9"/>
  <c r="AI49" i="9" s="1"/>
  <c r="AJ49" i="9" s="1"/>
  <c r="AH50" i="9"/>
  <c r="AI50" i="9" s="1"/>
  <c r="AJ50" i="9" s="1"/>
  <c r="AH67" i="9"/>
  <c r="AI67" i="9" s="1"/>
  <c r="AJ67" i="9" s="1"/>
  <c r="AK67" i="9" s="1"/>
  <c r="AH57" i="9"/>
  <c r="AI57" i="9" s="1"/>
  <c r="AJ57" i="9" s="1"/>
  <c r="AL100" i="9" s="1"/>
  <c r="AG121" i="9"/>
  <c r="AH48" i="9"/>
  <c r="AI48" i="9" s="1"/>
  <c r="AJ48" i="9" s="1"/>
  <c r="AH47" i="9"/>
  <c r="AI47" i="9" s="1"/>
  <c r="AJ47" i="9" s="1"/>
  <c r="AH80" i="9"/>
  <c r="AH51" i="9"/>
  <c r="AI51" i="9" s="1"/>
  <c r="AJ51" i="9" s="1"/>
  <c r="AF120" i="9"/>
  <c r="AD75" i="9"/>
  <c r="AE75" i="9" s="1"/>
  <c r="AF75" i="9" s="1"/>
  <c r="AG75" i="9" s="1"/>
  <c r="AH75" i="9" s="1"/>
  <c r="AI75" i="9" s="1"/>
  <c r="AJ75" i="9" s="1"/>
  <c r="AH71" i="9"/>
  <c r="AI71" i="9" s="1"/>
  <c r="AJ71" i="9" s="1"/>
  <c r="AH61" i="9"/>
  <c r="AI61" i="9" s="1"/>
  <c r="AJ61" i="9" s="1"/>
  <c r="AC72" i="9"/>
  <c r="AB115" i="9"/>
  <c r="J24" i="9"/>
  <c r="J25" i="9" s="1"/>
  <c r="AI81" i="9"/>
  <c r="AK83" i="9"/>
  <c r="AJ82" i="9"/>
  <c r="AH69" i="9"/>
  <c r="AI69" i="9" s="1"/>
  <c r="AJ69" i="9" s="1"/>
  <c r="AF121" i="9"/>
  <c r="AF116" i="9"/>
  <c r="S98" i="9"/>
  <c r="AH66" i="9"/>
  <c r="AI66" i="9" s="1"/>
  <c r="AJ66" i="9" s="1"/>
  <c r="AH76" i="9"/>
  <c r="AI76" i="9" s="1"/>
  <c r="AJ76" i="9" s="1"/>
  <c r="AH53" i="9"/>
  <c r="AI53" i="9" s="1"/>
  <c r="AJ53" i="9" s="1"/>
  <c r="AD118" i="9"/>
  <c r="AE118" i="9"/>
  <c r="W56" i="9"/>
  <c r="X56" i="9" s="1"/>
  <c r="Y56" i="9" s="1"/>
  <c r="Z56" i="9" s="1"/>
  <c r="AA56" i="9" s="1"/>
  <c r="AB56" i="9" s="1"/>
  <c r="AC56" i="9" s="1"/>
  <c r="AD56" i="9" s="1"/>
  <c r="AE56" i="9" s="1"/>
  <c r="AF56" i="9" s="1"/>
  <c r="AG56" i="9" s="1"/>
  <c r="AH56" i="9" s="1"/>
  <c r="AI56" i="9" s="1"/>
  <c r="AJ56" i="9" s="1"/>
  <c r="V99" i="9"/>
  <c r="Y68" i="9"/>
  <c r="X111" i="9"/>
  <c r="V64" i="9"/>
  <c r="U107" i="9"/>
  <c r="V62" i="9"/>
  <c r="U105" i="9"/>
  <c r="U54" i="9"/>
  <c r="T97" i="9"/>
  <c r="AE116" i="9"/>
  <c r="V95" i="9"/>
  <c r="U102" i="9"/>
  <c r="Z112" i="9"/>
  <c r="U96" i="9"/>
  <c r="AB114" i="9"/>
  <c r="AA113" i="9"/>
  <c r="Y109" i="9"/>
  <c r="X110" i="9"/>
  <c r="W108" i="9"/>
  <c r="V94" i="9"/>
  <c r="W90" i="9"/>
  <c r="U98" i="9"/>
  <c r="W100" i="9"/>
  <c r="V91" i="9"/>
  <c r="V106" i="9"/>
  <c r="V92" i="9"/>
  <c r="V103" i="9"/>
  <c r="V104" i="9"/>
  <c r="V93" i="9"/>
  <c r="V101" i="9"/>
  <c r="U89" i="9"/>
  <c r="AF119" i="9"/>
  <c r="AG118" i="9"/>
  <c r="AG116" i="9"/>
  <c r="AH121" i="9"/>
  <c r="AG120" i="9"/>
  <c r="AI122" i="9"/>
  <c r="AG119" i="9"/>
  <c r="AG117" i="9"/>
  <c r="AL95" i="9" l="1"/>
  <c r="AL110" i="9"/>
  <c r="AK58" i="9"/>
  <c r="AK57" i="9"/>
  <c r="AK52" i="9"/>
  <c r="AL122" i="9"/>
  <c r="AM128" i="9"/>
  <c r="AL120" i="9"/>
  <c r="AM127" i="9"/>
  <c r="AK47" i="9"/>
  <c r="AK65" i="9"/>
  <c r="AL94" i="9"/>
  <c r="AF118" i="9"/>
  <c r="AK74" i="9"/>
  <c r="AL90" i="9"/>
  <c r="AI80" i="9"/>
  <c r="AH123" i="9"/>
  <c r="AL93" i="9"/>
  <c r="AL101" i="9"/>
  <c r="AH122" i="9"/>
  <c r="AL89" i="9"/>
  <c r="AK50" i="9"/>
  <c r="AK82" i="9"/>
  <c r="AL125" i="9"/>
  <c r="AJ125" i="9"/>
  <c r="AK61" i="9"/>
  <c r="AL104" i="9"/>
  <c r="AM126" i="9"/>
  <c r="AK66" i="9"/>
  <c r="AL109" i="9"/>
  <c r="AK73" i="9"/>
  <c r="AL91" i="9"/>
  <c r="AL98" i="9"/>
  <c r="AL106" i="9"/>
  <c r="AK49" i="9"/>
  <c r="AK69" i="9"/>
  <c r="AL112" i="9"/>
  <c r="AK56" i="9"/>
  <c r="AL99" i="9"/>
  <c r="AK53" i="9"/>
  <c r="AL96" i="9"/>
  <c r="AJ81" i="9"/>
  <c r="AI124" i="9"/>
  <c r="AK76" i="9"/>
  <c r="AL119" i="9"/>
  <c r="AL103" i="9"/>
  <c r="AL102" i="9"/>
  <c r="AK79" i="9"/>
  <c r="AL116" i="9"/>
  <c r="AK60" i="9"/>
  <c r="AK59" i="9"/>
  <c r="AK51" i="9"/>
  <c r="AL92" i="9"/>
  <c r="AL121" i="9"/>
  <c r="AK48" i="9"/>
  <c r="AK55" i="9"/>
  <c r="AK63" i="9"/>
  <c r="AL113" i="9"/>
  <c r="AD72" i="9"/>
  <c r="AC115" i="9"/>
  <c r="AK71" i="9"/>
  <c r="AL114" i="9"/>
  <c r="AK75" i="9"/>
  <c r="AL118" i="9"/>
  <c r="AK78" i="9"/>
  <c r="AL108" i="9"/>
  <c r="AL117" i="9"/>
  <c r="AK70" i="9"/>
  <c r="X99" i="9"/>
  <c r="W99" i="9"/>
  <c r="V54" i="9"/>
  <c r="U97" i="9"/>
  <c r="W62" i="9"/>
  <c r="V105" i="9"/>
  <c r="Z68" i="9"/>
  <c r="Y111" i="9"/>
  <c r="W64" i="9"/>
  <c r="V107" i="9"/>
  <c r="W95" i="9"/>
  <c r="AA112" i="9"/>
  <c r="V96" i="9"/>
  <c r="V102" i="9"/>
  <c r="AC114" i="9"/>
  <c r="AB113" i="9"/>
  <c r="Y110" i="9"/>
  <c r="Z109" i="9"/>
  <c r="X108" i="9"/>
  <c r="X90" i="9"/>
  <c r="W101" i="9"/>
  <c r="W93" i="9"/>
  <c r="W104" i="9"/>
  <c r="Y99" i="9"/>
  <c r="W91" i="9"/>
  <c r="W103" i="9"/>
  <c r="X100" i="9"/>
  <c r="W94" i="9"/>
  <c r="W106" i="9"/>
  <c r="W92" i="9"/>
  <c r="V98" i="9"/>
  <c r="V89" i="9"/>
  <c r="AJ122" i="9"/>
  <c r="AH118" i="9"/>
  <c r="AI121" i="9"/>
  <c r="AH116" i="9"/>
  <c r="AH120" i="9"/>
  <c r="AH117" i="9"/>
  <c r="AH119" i="9"/>
  <c r="AJ80" i="9" l="1"/>
  <c r="AI123" i="9"/>
  <c r="AK81" i="9"/>
  <c r="AL124" i="9"/>
  <c r="AJ124" i="9"/>
  <c r="AE72" i="9"/>
  <c r="AD115" i="9"/>
  <c r="AM125" i="9"/>
  <c r="AK125" i="9"/>
  <c r="AA68" i="9"/>
  <c r="Z111" i="9"/>
  <c r="X64" i="9"/>
  <c r="W107" i="9"/>
  <c r="X62" i="9"/>
  <c r="W105" i="9"/>
  <c r="W54" i="9"/>
  <c r="V97" i="9"/>
  <c r="X95" i="9"/>
  <c r="W102" i="9"/>
  <c r="W96" i="9"/>
  <c r="AB112" i="9"/>
  <c r="AD114" i="9"/>
  <c r="AC113" i="9"/>
  <c r="AA109" i="9"/>
  <c r="Z110" i="9"/>
  <c r="Y108" i="9"/>
  <c r="W98" i="9"/>
  <c r="X103" i="9"/>
  <c r="Z99" i="9"/>
  <c r="X104" i="9"/>
  <c r="X92" i="9"/>
  <c r="X93" i="9"/>
  <c r="X94" i="9"/>
  <c r="Y90" i="9"/>
  <c r="X106" i="9"/>
  <c r="X91" i="9"/>
  <c r="X101" i="9"/>
  <c r="Y100" i="9"/>
  <c r="W89" i="9"/>
  <c r="AJ121" i="9"/>
  <c r="AI116" i="9"/>
  <c r="AI118" i="9"/>
  <c r="AM122" i="9"/>
  <c r="AK122" i="9"/>
  <c r="AI120" i="9"/>
  <c r="AI119" i="9"/>
  <c r="AI117" i="9"/>
  <c r="AL123" i="9" l="1"/>
  <c r="AK80" i="9"/>
  <c r="AJ123" i="9"/>
  <c r="AF72" i="9"/>
  <c r="AE115" i="9"/>
  <c r="AM124" i="9"/>
  <c r="AK124" i="9"/>
  <c r="Y62" i="9"/>
  <c r="X105" i="9"/>
  <c r="Y64" i="9"/>
  <c r="X107" i="9"/>
  <c r="X54" i="9"/>
  <c r="W97" i="9"/>
  <c r="AB68" i="9"/>
  <c r="AA111" i="9"/>
  <c r="Y95" i="9"/>
  <c r="X96" i="9"/>
  <c r="AC112" i="9"/>
  <c r="X102" i="9"/>
  <c r="AE114" i="9"/>
  <c r="AD113" i="9"/>
  <c r="AB109" i="9"/>
  <c r="AA110" i="9"/>
  <c r="Z108" i="9"/>
  <c r="Y94" i="9"/>
  <c r="Y93" i="9"/>
  <c r="Y91" i="9"/>
  <c r="Z100" i="9"/>
  <c r="Y92" i="9"/>
  <c r="Y104" i="9"/>
  <c r="AA99" i="9"/>
  <c r="Z90" i="9"/>
  <c r="Y101" i="9"/>
  <c r="Y103" i="9"/>
  <c r="Y106" i="9"/>
  <c r="X98" i="9"/>
  <c r="X89" i="9"/>
  <c r="AJ118" i="9"/>
  <c r="AJ119" i="9"/>
  <c r="AJ116" i="9"/>
  <c r="AJ120" i="9"/>
  <c r="AM121" i="9"/>
  <c r="AK121" i="9"/>
  <c r="AJ117" i="9"/>
  <c r="AM123" i="9" l="1"/>
  <c r="AK123" i="9"/>
  <c r="AG72" i="9"/>
  <c r="AF115" i="9"/>
  <c r="Z64" i="9"/>
  <c r="Y107" i="9"/>
  <c r="AC68" i="9"/>
  <c r="AB111" i="9"/>
  <c r="Y54" i="9"/>
  <c r="X97" i="9"/>
  <c r="Z62" i="9"/>
  <c r="Y105" i="9"/>
  <c r="Z95" i="9"/>
  <c r="AD112" i="9"/>
  <c r="Y102" i="9"/>
  <c r="Y96" i="9"/>
  <c r="AF114" i="9"/>
  <c r="AE113" i="9"/>
  <c r="AC109" i="9"/>
  <c r="AB110" i="9"/>
  <c r="AA108" i="9"/>
  <c r="Z101" i="9"/>
  <c r="Z92" i="9"/>
  <c r="AA90" i="9"/>
  <c r="Y98" i="9"/>
  <c r="AA100" i="9"/>
  <c r="Z91" i="9"/>
  <c r="Z106" i="9"/>
  <c r="AB99" i="9"/>
  <c r="Z103" i="9"/>
  <c r="Z104" i="9"/>
  <c r="AA93" i="9"/>
  <c r="Z93" i="9"/>
  <c r="Z94" i="9"/>
  <c r="Y89" i="9"/>
  <c r="AK116" i="9"/>
  <c r="AM116" i="9"/>
  <c r="AK120" i="9"/>
  <c r="AM120" i="9"/>
  <c r="AK117" i="9"/>
  <c r="AM117" i="9"/>
  <c r="AM119" i="9"/>
  <c r="AK119" i="9"/>
  <c r="AK118" i="9"/>
  <c r="AM118" i="9"/>
  <c r="AH72" i="9" l="1"/>
  <c r="AG115" i="9"/>
  <c r="AA62" i="9"/>
  <c r="Z105" i="9"/>
  <c r="AD68" i="9"/>
  <c r="AC111" i="9"/>
  <c r="Z54" i="9"/>
  <c r="Y97" i="9"/>
  <c r="AA64" i="9"/>
  <c r="Z107" i="9"/>
  <c r="AA95" i="9"/>
  <c r="Z96" i="9"/>
  <c r="Z102" i="9"/>
  <c r="AE112" i="9"/>
  <c r="AG114" i="9"/>
  <c r="AF113" i="9"/>
  <c r="AC110" i="9"/>
  <c r="AD109" i="9"/>
  <c r="AB108" i="9"/>
  <c r="AA103" i="9"/>
  <c r="Z98" i="9"/>
  <c r="AA94" i="9"/>
  <c r="AC99" i="9"/>
  <c r="AB90" i="9"/>
  <c r="AA91" i="9"/>
  <c r="AA92" i="9"/>
  <c r="AA104" i="9"/>
  <c r="AA101" i="9"/>
  <c r="AB100" i="9"/>
  <c r="AA106" i="9"/>
  <c r="Z89" i="9"/>
  <c r="AI72" i="9" l="1"/>
  <c r="AH115" i="9"/>
  <c r="AE68" i="9"/>
  <c r="AD111" i="9"/>
  <c r="AB64" i="9"/>
  <c r="AA107" i="9"/>
  <c r="AA54" i="9"/>
  <c r="Z97" i="9"/>
  <c r="AB62" i="9"/>
  <c r="AA105" i="9"/>
  <c r="AB95" i="9"/>
  <c r="AF112" i="9"/>
  <c r="AA102" i="9"/>
  <c r="AA96" i="9"/>
  <c r="AH114" i="9"/>
  <c r="AG113" i="9"/>
  <c r="AD110" i="9"/>
  <c r="AE109" i="9"/>
  <c r="AC108" i="9"/>
  <c r="AB104" i="9"/>
  <c r="AC100" i="9"/>
  <c r="AB101" i="9"/>
  <c r="AB94" i="9"/>
  <c r="AB91" i="9"/>
  <c r="AA98" i="9"/>
  <c r="AC90" i="9"/>
  <c r="AD99" i="9"/>
  <c r="AB106" i="9"/>
  <c r="AB92" i="9"/>
  <c r="AB103" i="9"/>
  <c r="AB93" i="9"/>
  <c r="AA89" i="9"/>
  <c r="AJ72" i="9" l="1"/>
  <c r="AI115" i="9"/>
  <c r="AC62" i="9"/>
  <c r="AB105" i="9"/>
  <c r="AC64" i="9"/>
  <c r="AB107" i="9"/>
  <c r="AB54" i="9"/>
  <c r="AA97" i="9"/>
  <c r="AF68" i="9"/>
  <c r="AE111" i="9"/>
  <c r="AC95" i="9"/>
  <c r="AB102" i="9"/>
  <c r="AG112" i="9"/>
  <c r="AB96" i="9"/>
  <c r="AI114" i="9"/>
  <c r="AH113" i="9"/>
  <c r="AF109" i="9"/>
  <c r="AE110" i="9"/>
  <c r="AD108" i="9"/>
  <c r="AC101" i="9"/>
  <c r="AC94" i="9"/>
  <c r="AD90" i="9"/>
  <c r="AC106" i="9"/>
  <c r="AE99" i="9"/>
  <c r="AB98" i="9"/>
  <c r="AC93" i="9"/>
  <c r="AC103" i="9"/>
  <c r="AD100" i="9"/>
  <c r="AC92" i="9"/>
  <c r="AC91" i="9"/>
  <c r="AC104" i="9"/>
  <c r="AB89" i="9"/>
  <c r="AK72" i="9" l="1"/>
  <c r="AL115" i="9"/>
  <c r="AJ115" i="9"/>
  <c r="AG68" i="9"/>
  <c r="AF111" i="9"/>
  <c r="AD64" i="9"/>
  <c r="AC107" i="9"/>
  <c r="AC54" i="9"/>
  <c r="AB97" i="9"/>
  <c r="AD62" i="9"/>
  <c r="AC105" i="9"/>
  <c r="AD95" i="9"/>
  <c r="AC96" i="9"/>
  <c r="AC102" i="9"/>
  <c r="AH112" i="9"/>
  <c r="AJ114" i="9"/>
  <c r="AI113" i="9"/>
  <c r="AF110" i="9"/>
  <c r="AG109" i="9"/>
  <c r="AE108" i="9"/>
  <c r="AD93" i="9"/>
  <c r="AD91" i="9"/>
  <c r="AC98" i="9"/>
  <c r="AD92" i="9"/>
  <c r="AD106" i="9"/>
  <c r="AD104" i="9"/>
  <c r="AF99" i="9"/>
  <c r="AE90" i="9"/>
  <c r="AD94" i="9"/>
  <c r="AE100" i="9"/>
  <c r="AD103" i="9"/>
  <c r="AD101" i="9"/>
  <c r="AC89" i="9"/>
  <c r="AM115" i="9" l="1"/>
  <c r="AK115" i="9"/>
  <c r="AE62" i="9"/>
  <c r="AD105" i="9"/>
  <c r="AE64" i="9"/>
  <c r="AD107" i="9"/>
  <c r="AD54" i="9"/>
  <c r="AC97" i="9"/>
  <c r="AH68" i="9"/>
  <c r="AG111" i="9"/>
  <c r="AE95" i="9"/>
  <c r="AD102" i="9"/>
  <c r="AI112" i="9"/>
  <c r="AD96" i="9"/>
  <c r="AK114" i="9"/>
  <c r="AM114" i="9"/>
  <c r="AJ113" i="9"/>
  <c r="AH109" i="9"/>
  <c r="AG110" i="9"/>
  <c r="AF108" i="9"/>
  <c r="AG99" i="9"/>
  <c r="AE92" i="9"/>
  <c r="AE104" i="9"/>
  <c r="AE101" i="9"/>
  <c r="AE103" i="9"/>
  <c r="AE91" i="9"/>
  <c r="AF90" i="9"/>
  <c r="AD98" i="9"/>
  <c r="AE94" i="9"/>
  <c r="AF100" i="9"/>
  <c r="AE93" i="9"/>
  <c r="AE106" i="9"/>
  <c r="AD89" i="9"/>
  <c r="AI68" i="9" l="1"/>
  <c r="AH111" i="9"/>
  <c r="AF64" i="9"/>
  <c r="AE107" i="9"/>
  <c r="AE54" i="9"/>
  <c r="AD97" i="9"/>
  <c r="AF62" i="9"/>
  <c r="AE105" i="9"/>
  <c r="AF95" i="9"/>
  <c r="AJ112" i="9"/>
  <c r="AE96" i="9"/>
  <c r="AE102" i="9"/>
  <c r="AK113" i="9"/>
  <c r="AM113" i="9"/>
  <c r="AH110" i="9"/>
  <c r="AI109" i="9"/>
  <c r="AG108" i="9"/>
  <c r="AF94" i="9"/>
  <c r="AG100" i="9"/>
  <c r="AF91" i="9"/>
  <c r="AF101" i="9"/>
  <c r="AG90" i="9"/>
  <c r="AF106" i="9"/>
  <c r="AF103" i="9"/>
  <c r="AF104" i="9"/>
  <c r="AF92" i="9"/>
  <c r="AH99" i="9"/>
  <c r="AF93" i="9"/>
  <c r="AE98" i="9"/>
  <c r="AE89" i="9"/>
  <c r="AG62" i="9" l="1"/>
  <c r="AF105" i="9"/>
  <c r="AG64" i="9"/>
  <c r="AF107" i="9"/>
  <c r="AF54" i="9"/>
  <c r="AE97" i="9"/>
  <c r="AJ68" i="9"/>
  <c r="AL111" i="9" s="1"/>
  <c r="AI111" i="9"/>
  <c r="AG95" i="9"/>
  <c r="AF96" i="9"/>
  <c r="AF102" i="9"/>
  <c r="AM112" i="9"/>
  <c r="AK112" i="9"/>
  <c r="AJ109" i="9"/>
  <c r="AI110" i="9"/>
  <c r="AH108" i="9"/>
  <c r="AG103" i="9"/>
  <c r="AH90" i="9"/>
  <c r="AG104" i="9"/>
  <c r="AG106" i="9"/>
  <c r="AG94" i="9"/>
  <c r="AF98" i="9"/>
  <c r="AG93" i="9"/>
  <c r="AG91" i="9"/>
  <c r="AH100" i="9"/>
  <c r="AI99" i="9"/>
  <c r="AG92" i="9"/>
  <c r="AG101" i="9"/>
  <c r="AF89" i="9"/>
  <c r="AK68" i="9" l="1"/>
  <c r="AJ111" i="9"/>
  <c r="AG54" i="9"/>
  <c r="AF97" i="9"/>
  <c r="AH64" i="9"/>
  <c r="AG107" i="9"/>
  <c r="AH62" i="9"/>
  <c r="AG105" i="9"/>
  <c r="AH95" i="9"/>
  <c r="AG96" i="9"/>
  <c r="AG102" i="9"/>
  <c r="AJ110" i="9"/>
  <c r="AK109" i="9"/>
  <c r="AM109" i="9"/>
  <c r="AI108" i="9"/>
  <c r="AH93" i="9"/>
  <c r="AH104" i="9"/>
  <c r="AI100" i="9"/>
  <c r="AH101" i="9"/>
  <c r="AJ99" i="9"/>
  <c r="AI90" i="9"/>
  <c r="AH94" i="9"/>
  <c r="AH103" i="9"/>
  <c r="AH92" i="9"/>
  <c r="AG98" i="9"/>
  <c r="AH91" i="9"/>
  <c r="AH106" i="9"/>
  <c r="AG89" i="9"/>
  <c r="AI62" i="9" l="1"/>
  <c r="AH105" i="9"/>
  <c r="AH54" i="9"/>
  <c r="AG97" i="9"/>
  <c r="AI64" i="9"/>
  <c r="AH107" i="9"/>
  <c r="AM111" i="9"/>
  <c r="AK111" i="9"/>
  <c r="AI95" i="9"/>
  <c r="AH102" i="9"/>
  <c r="AH96" i="9"/>
  <c r="AK110" i="9"/>
  <c r="AM110" i="9"/>
  <c r="AJ108" i="9"/>
  <c r="AI101" i="9"/>
  <c r="AJ100" i="9"/>
  <c r="AJ90" i="9"/>
  <c r="AI104" i="9"/>
  <c r="AI106" i="9"/>
  <c r="AK99" i="9"/>
  <c r="AM99" i="9"/>
  <c r="AI91" i="9"/>
  <c r="AI94" i="9"/>
  <c r="AI92" i="9"/>
  <c r="AI103" i="9"/>
  <c r="AH98" i="9"/>
  <c r="AI93" i="9"/>
  <c r="AH89" i="9"/>
  <c r="AJ64" i="9" l="1"/>
  <c r="AL107" i="9" s="1"/>
  <c r="AI107" i="9"/>
  <c r="AI54" i="9"/>
  <c r="AH97" i="9"/>
  <c r="AJ62" i="9"/>
  <c r="AL105" i="9" s="1"/>
  <c r="AI105" i="9"/>
  <c r="AJ95" i="9"/>
  <c r="AI96" i="9"/>
  <c r="AI102" i="9"/>
  <c r="AM108" i="9"/>
  <c r="AK108" i="9"/>
  <c r="AK90" i="9"/>
  <c r="AM90" i="9"/>
  <c r="AJ94" i="9"/>
  <c r="AI98" i="9"/>
  <c r="AJ101" i="9"/>
  <c r="AM100" i="9"/>
  <c r="AK100" i="9"/>
  <c r="AJ103" i="9"/>
  <c r="AJ93" i="9"/>
  <c r="AJ91" i="9"/>
  <c r="AJ106" i="9"/>
  <c r="AJ92" i="9"/>
  <c r="AJ104" i="9"/>
  <c r="AI89" i="9"/>
  <c r="AJ54" i="9" l="1"/>
  <c r="AL97" i="9" s="1"/>
  <c r="AI97" i="9"/>
  <c r="AK62" i="9"/>
  <c r="AJ105" i="9"/>
  <c r="AK64" i="9"/>
  <c r="AJ107" i="9"/>
  <c r="AM95" i="9"/>
  <c r="AK95" i="9"/>
  <c r="AJ102" i="9"/>
  <c r="AJ96" i="9"/>
  <c r="AK106" i="9"/>
  <c r="AM106" i="9"/>
  <c r="AK104" i="9"/>
  <c r="AM104" i="9"/>
  <c r="AK91" i="9"/>
  <c r="AM91" i="9"/>
  <c r="AK101" i="9"/>
  <c r="AM101" i="9"/>
  <c r="AM103" i="9"/>
  <c r="AK103" i="9"/>
  <c r="AM94" i="9"/>
  <c r="AK94" i="9"/>
  <c r="AK93" i="9"/>
  <c r="AM93" i="9"/>
  <c r="AJ98" i="9"/>
  <c r="AK92" i="9"/>
  <c r="AM92" i="9"/>
  <c r="AJ89" i="9"/>
  <c r="AM107" i="9" l="1"/>
  <c r="AK107" i="9"/>
  <c r="AM105" i="9"/>
  <c r="AK105" i="9"/>
  <c r="AK54" i="9"/>
  <c r="AJ97" i="9"/>
  <c r="AK96" i="9"/>
  <c r="AM96" i="9"/>
  <c r="AK102" i="9"/>
  <c r="AM102" i="9"/>
  <c r="AK98" i="9"/>
  <c r="AM98" i="9"/>
  <c r="AM89" i="9"/>
  <c r="AK89" i="9"/>
  <c r="C12" i="5"/>
  <c r="I29" i="5" s="1"/>
  <c r="AM97" i="9" l="1"/>
  <c r="AK97" i="9"/>
  <c r="F24" i="2"/>
  <c r="I1" i="5" l="1"/>
  <c r="H1" i="7" s="1"/>
  <c r="E35" i="2"/>
  <c r="F35" i="2"/>
  <c r="H37" i="2"/>
  <c r="I37" i="2"/>
  <c r="H41" i="5" l="1"/>
  <c r="A19" i="7" l="1"/>
  <c r="G10" i="7"/>
  <c r="G14" i="7"/>
  <c r="F25" i="2"/>
  <c r="F26" i="2"/>
  <c r="F27" i="2"/>
  <c r="F28" i="2"/>
  <c r="F29" i="2"/>
  <c r="F30" i="2"/>
  <c r="F31" i="2"/>
  <c r="F32" i="2"/>
  <c r="F33" i="2"/>
  <c r="F34" i="2"/>
  <c r="E25" i="2"/>
  <c r="E26" i="2"/>
  <c r="E27" i="2"/>
  <c r="E28" i="2"/>
  <c r="E29" i="2"/>
  <c r="E30" i="2"/>
  <c r="E31" i="2"/>
  <c r="E32" i="2"/>
  <c r="E33" i="2"/>
  <c r="E34" i="2"/>
  <c r="I45" i="2"/>
  <c r="H45" i="2"/>
  <c r="E24" i="2"/>
  <c r="E37" i="2" l="1"/>
  <c r="G12" i="7"/>
  <c r="F37" i="2"/>
  <c r="H49" i="2"/>
  <c r="H55" i="2" s="1"/>
  <c r="I57" i="2" s="1"/>
  <c r="E20" i="2"/>
  <c r="E41" i="2" l="1"/>
  <c r="A32" i="7"/>
  <c r="F41" i="2"/>
  <c r="A38" i="7" l="1"/>
  <c r="A40" i="7"/>
  <c r="E35" i="7"/>
  <c r="I26" i="5"/>
  <c r="I28" i="5" s="1"/>
  <c r="E24" i="7"/>
  <c r="I47" i="2"/>
  <c r="I49" i="2" s="1"/>
  <c r="I55" i="2" s="1"/>
  <c r="E22" i="7" s="1"/>
  <c r="I27" i="5" l="1"/>
  <c r="I30" i="5" l="1"/>
  <c r="I40" i="5" s="1"/>
  <c r="I46" i="5" s="1"/>
  <c r="I59" i="2"/>
  <c r="I52" i="5" s="1"/>
  <c r="I54" i="5" l="1"/>
  <c r="E26" i="7" s="1"/>
  <c r="I56" i="5" l="1"/>
  <c r="E2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Raphaël JOSSI</author>
  </authors>
  <commentList>
    <comment ref="H43" authorId="0" shapeId="0" xr:uid="{00000000-0006-0000-0000-000001000000}">
      <text>
        <r>
          <rPr>
            <b/>
            <sz val="11"/>
            <color indexed="81"/>
            <rFont val="Calibri"/>
            <family val="2"/>
            <scheme val="minor"/>
          </rPr>
          <t>Saisir le signe "-" !</t>
        </r>
        <r>
          <rPr>
            <sz val="8"/>
            <color indexed="81"/>
            <rFont val="Tahoma"/>
            <family val="2"/>
          </rPr>
          <t xml:space="preserve">
</t>
        </r>
      </text>
    </comment>
    <comment ref="I43" authorId="0" shapeId="0" xr:uid="{00000000-0006-0000-0000-000002000000}">
      <text>
        <r>
          <rPr>
            <b/>
            <sz val="11"/>
            <color indexed="81"/>
            <rFont val="Calibri"/>
            <family val="2"/>
            <scheme val="minor"/>
          </rPr>
          <t>Saisir le signe "-" !</t>
        </r>
        <r>
          <rPr>
            <sz val="8"/>
            <color indexed="81"/>
            <rFont val="Tahoma"/>
            <family val="2"/>
          </rPr>
          <t xml:space="preserve">
</t>
        </r>
      </text>
    </comment>
    <comment ref="I47" authorId="0" shapeId="0" xr:uid="{00000000-0006-0000-0000-000003000000}">
      <text>
        <r>
          <rPr>
            <b/>
            <sz val="11"/>
            <color indexed="81"/>
            <rFont val="Calibri"/>
            <family val="2"/>
            <scheme val="minor"/>
          </rPr>
          <t>Perte de l'exercice commercial en cours.</t>
        </r>
      </text>
    </comment>
    <comment ref="H51" authorId="0" shapeId="0" xr:uid="{00000000-0006-0000-0000-000004000000}">
      <text>
        <r>
          <rPr>
            <b/>
            <sz val="11"/>
            <color indexed="81"/>
            <rFont val="Calibri"/>
            <family val="2"/>
            <scheme val="minor"/>
          </rPr>
          <t xml:space="preserve">Perte reportée. Saisir le signe "-" ! </t>
        </r>
      </text>
    </comment>
    <comment ref="I51" authorId="0" shapeId="0" xr:uid="{00000000-0006-0000-0000-000005000000}">
      <text>
        <r>
          <rPr>
            <b/>
            <sz val="11"/>
            <color indexed="81"/>
            <rFont val="Calibri"/>
            <family val="2"/>
            <scheme val="minor"/>
          </rPr>
          <t xml:space="preserve">Perte reportée. Saisir le signe "-" ! </t>
        </r>
      </text>
    </comment>
    <comment ref="H53" authorId="0" shapeId="0" xr:uid="{00000000-0006-0000-0000-000006000000}">
      <text>
        <r>
          <rPr>
            <b/>
            <sz val="11"/>
            <color indexed="81"/>
            <rFont val="Calibri"/>
            <family val="2"/>
            <scheme val="minor"/>
          </rPr>
          <t>Saisir le signe "-" !</t>
        </r>
        <r>
          <rPr>
            <sz val="8"/>
            <color indexed="81"/>
            <rFont val="Tahoma"/>
            <family val="2"/>
          </rPr>
          <t xml:space="preserve">
</t>
        </r>
      </text>
    </comment>
    <comment ref="I53" authorId="0" shapeId="0" xr:uid="{00000000-0006-0000-0000-000007000000}">
      <text>
        <r>
          <rPr>
            <b/>
            <sz val="11"/>
            <color indexed="81"/>
            <rFont val="Calibri"/>
            <family val="2"/>
            <scheme val="minor"/>
          </rPr>
          <t>Saisir le signe "-"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Raphaël JOSSI</author>
  </authors>
  <commentList>
    <comment ref="I21" authorId="0" shapeId="0" xr:uid="{00000000-0006-0000-0100-000001000000}">
      <text>
        <r>
          <rPr>
            <b/>
            <sz val="11"/>
            <color indexed="81"/>
            <rFont val="Calibri"/>
            <family val="2"/>
            <scheme val="minor"/>
          </rPr>
          <t>Les pertes ne sont pas prises en compte, saisir 0.- en cas de perte !</t>
        </r>
        <r>
          <rPr>
            <sz val="8"/>
            <color indexed="81"/>
            <rFont val="Tahoma"/>
            <family val="2"/>
          </rPr>
          <t xml:space="preserve">
</t>
        </r>
      </text>
    </comment>
    <comment ref="I22" authorId="0" shapeId="0" xr:uid="{00000000-0006-0000-0100-000002000000}">
      <text>
        <r>
          <rPr>
            <b/>
            <sz val="11"/>
            <color indexed="81"/>
            <rFont val="Calibri"/>
            <family val="2"/>
            <scheme val="minor"/>
          </rPr>
          <t>Les pertes ne sont pas prises en compte, saisir 0.- en cas de perte !</t>
        </r>
        <r>
          <rPr>
            <sz val="8"/>
            <color indexed="81"/>
            <rFont val="Tahoma"/>
            <family val="2"/>
          </rPr>
          <t xml:space="preserve">
</t>
        </r>
      </text>
    </comment>
    <comment ref="I23" authorId="0" shapeId="0" xr:uid="{00000000-0006-0000-0100-000003000000}">
      <text>
        <r>
          <rPr>
            <b/>
            <sz val="11"/>
            <color indexed="81"/>
            <rFont val="Calibri"/>
            <family val="2"/>
            <scheme val="minor"/>
          </rPr>
          <t>Les pertes ne sont pas prises en compte, saisir 0.- en cas de perte !</t>
        </r>
        <r>
          <rPr>
            <sz val="8"/>
            <color indexed="81"/>
            <rFont val="Tahoma"/>
            <family val="2"/>
          </rPr>
          <t xml:space="preserve">
</t>
        </r>
      </text>
    </comment>
    <comment ref="I24" authorId="0" shapeId="0" xr:uid="{00000000-0006-0000-0100-000004000000}">
      <text>
        <r>
          <rPr>
            <b/>
            <sz val="11"/>
            <color indexed="81"/>
            <rFont val="Calibri"/>
            <family val="2"/>
            <scheme val="minor"/>
          </rPr>
          <t>Les pertes ne sont pas prises en compte, saisir 0.- en cas de perte !</t>
        </r>
        <r>
          <rPr>
            <sz val="8"/>
            <color indexed="81"/>
            <rFont val="Tahoma"/>
            <family val="2"/>
          </rPr>
          <t xml:space="preserve">
</t>
        </r>
      </text>
    </comment>
    <comment ref="I25" authorId="0" shapeId="0" xr:uid="{00000000-0006-0000-0100-000005000000}">
      <text>
        <r>
          <rPr>
            <b/>
            <sz val="11"/>
            <color indexed="81"/>
            <rFont val="Calibri"/>
            <family val="2"/>
            <scheme val="minor"/>
          </rPr>
          <t>Les pertes ne sont pas prises en compte, saisir 0.- en cas de perte !</t>
        </r>
        <r>
          <rPr>
            <sz val="8"/>
            <color indexed="81"/>
            <rFont val="Tahoma"/>
            <family val="2"/>
          </rPr>
          <t xml:space="preserve">
</t>
        </r>
      </text>
    </comment>
    <comment ref="I41" authorId="0" shapeId="0" xr:uid="{00000000-0006-0000-0100-000006000000}">
      <text>
        <r>
          <rPr>
            <b/>
            <sz val="11"/>
            <color indexed="81"/>
            <rFont val="Calibri"/>
            <family val="2"/>
            <scheme val="minor"/>
          </rPr>
          <t>Saisir le signe "-" !</t>
        </r>
        <r>
          <rPr>
            <sz val="8"/>
            <color indexed="81"/>
            <rFont val="Tahoma"/>
            <family val="2"/>
          </rPr>
          <t xml:space="preserve">
</t>
        </r>
      </text>
    </comment>
    <comment ref="I42" authorId="0" shapeId="0" xr:uid="{00000000-0006-0000-0100-000007000000}">
      <text>
        <r>
          <rPr>
            <b/>
            <sz val="11"/>
            <color indexed="81"/>
            <rFont val="Calibri"/>
            <family val="2"/>
            <scheme val="minor"/>
          </rPr>
          <t>Saisir le signe "-" !</t>
        </r>
        <r>
          <rPr>
            <sz val="8"/>
            <color indexed="81"/>
            <rFont val="Tahoma"/>
            <family val="2"/>
          </rPr>
          <t xml:space="preserve">
</t>
        </r>
      </text>
    </comment>
    <comment ref="H43" authorId="0" shapeId="0" xr:uid="{00000000-0006-0000-0100-000008000000}">
      <text>
        <r>
          <rPr>
            <b/>
            <sz val="11"/>
            <color indexed="81"/>
            <rFont val="Calibri"/>
            <family val="2"/>
            <scheme val="minor"/>
          </rPr>
          <t>Saisir le signe "-" !</t>
        </r>
        <r>
          <rPr>
            <sz val="8"/>
            <color indexed="81"/>
            <rFont val="Tahoma"/>
            <family val="2"/>
          </rPr>
          <t xml:space="preserve">
</t>
        </r>
      </text>
    </comment>
    <comment ref="H44" authorId="0" shapeId="0" xr:uid="{00000000-0006-0000-0100-000009000000}">
      <text>
        <r>
          <rPr>
            <b/>
            <sz val="11"/>
            <color indexed="81"/>
            <rFont val="Calibri"/>
            <family val="2"/>
            <scheme val="minor"/>
          </rPr>
          <t>Saisir le signe "-" !</t>
        </r>
        <r>
          <rPr>
            <sz val="8"/>
            <color indexed="81"/>
            <rFont val="Tahoma"/>
            <family val="2"/>
          </rPr>
          <t xml:space="preserve">
</t>
        </r>
      </text>
    </comment>
  </commentList>
</comments>
</file>

<file path=xl/sharedStrings.xml><?xml version="1.0" encoding="utf-8"?>
<sst xmlns="http://schemas.openxmlformats.org/spreadsheetml/2006/main" count="118" uniqueCount="90">
  <si>
    <t>Fiche de calcul du bénéfice de liquidation</t>
  </si>
  <si>
    <t>Domicile</t>
  </si>
  <si>
    <t>Période fiscale</t>
  </si>
  <si>
    <t>N° de référence</t>
  </si>
  <si>
    <t>Année de naissance</t>
  </si>
  <si>
    <t>Nom et prénom</t>
  </si>
  <si>
    <t>Calcul du bénéfice de liquidation</t>
  </si>
  <si>
    <t>Monsieur</t>
  </si>
  <si>
    <t>Taxation ordinaire</t>
  </si>
  <si>
    <t>Bénéfice de liquidation</t>
  </si>
  <si>
    <t>Dissolution de la réserve privilégiée sur marchandises</t>
  </si>
  <si>
    <t>Dissolution du ducroire</t>
  </si>
  <si>
    <t>Réserves latentes sur stocks et travaux en cours</t>
  </si>
  <si>
    <t>Réserves latentes sur titres</t>
  </si>
  <si>
    <t>Réserves latentes sur véhicule</t>
  </si>
  <si>
    <t>Réserves latentes sur machines et installations</t>
  </si>
  <si>
    <t>Réserves latentes sur provisions</t>
  </si>
  <si>
    <t>Total des réserves latentes</t>
  </si>
  <si>
    <t>Résultat d'exploitation imposable</t>
  </si>
  <si>
    <r>
      <t xml:space="preserve">Résultat selon comptes </t>
    </r>
    <r>
      <rPr>
        <b/>
        <i/>
        <sz val="9"/>
        <color theme="1"/>
        <rFont val="Calibri"/>
        <family val="2"/>
        <scheme val="minor"/>
      </rPr>
      <t>(y compris bénéfice de liquidation)</t>
    </r>
  </si>
  <si>
    <t>Bénéfice de liquidation avant déduction de l'AVS</t>
  </si>
  <si>
    <t>AVS : 10%</t>
  </si>
  <si>
    <t>Excédent de cotisations de rachat LPP non déduit des autres revenus</t>
  </si>
  <si>
    <t>Bénéfice de liquidation imposable</t>
  </si>
  <si>
    <t>Amort. récupérés sur différé d'imposit. des immeubles</t>
  </si>
  <si>
    <t>Autres réserves latentes (goodwill, etc…)</t>
  </si>
  <si>
    <t>Réserves latentes sur immeubles</t>
  </si>
  <si>
    <t>Réserves latentes sur autres actifs</t>
  </si>
  <si>
    <t>Report du bénéfice de liquidation de l'année précédente</t>
  </si>
  <si>
    <t>Totaux</t>
  </si>
  <si>
    <t>Calcul du rachat fictif admis</t>
  </si>
  <si>
    <t>Exercice</t>
  </si>
  <si>
    <t>Montant</t>
  </si>
  <si>
    <t>Calcul du revenu déterminant</t>
  </si>
  <si>
    <t>Revenu de l'activité indépendante soumis AVS de la 5ème année avant liquidation</t>
  </si>
  <si>
    <t>Revenu de l'activité indépendante soumis AVS de la 4ème année avant liquidation</t>
  </si>
  <si>
    <t>Revenu de l'activité indépendante soumis AVS de la 3ème année avant liquidation</t>
  </si>
  <si>
    <t>Revenu de l'activité indépendante soumis AVS de la 2ème année avant liquidation</t>
  </si>
  <si>
    <t>Revenu de l'activité indépendante soumis AVS de la 1ère année avant liquidation</t>
  </si>
  <si>
    <t>Somme des résultats commerciaux</t>
  </si>
  <si>
    <t>Revenu déterminant</t>
  </si>
  <si>
    <t>Madame</t>
  </si>
  <si>
    <t>Calcul des années de cotisations à prendre en compte</t>
  </si>
  <si>
    <t>Année civile</t>
  </si>
  <si>
    <t>Âge du contribuable lors de la liquidation</t>
  </si>
  <si>
    <r>
      <t xml:space="preserve">Années de cotisations à prendre en compte </t>
    </r>
    <r>
      <rPr>
        <b/>
        <i/>
        <sz val="10"/>
        <color theme="1"/>
        <rFont val="Calibri"/>
        <family val="2"/>
        <scheme val="minor"/>
      </rPr>
      <t>(max. 40 ans pour un homme et 39 ans pour une femme)</t>
    </r>
  </si>
  <si>
    <r>
      <t xml:space="preserve">Années de cotisations théorique </t>
    </r>
    <r>
      <rPr>
        <i/>
        <sz val="10"/>
        <color theme="1"/>
        <rFont val="Calibri"/>
        <family val="2"/>
        <scheme val="minor"/>
      </rPr>
      <t>(âge lors de la liquidation ./. 25 ans)</t>
    </r>
  </si>
  <si>
    <t>Avoirs de vieillesse dans des institutions de prévoyance ou de libre passage</t>
  </si>
  <si>
    <t>Prélèvements anticipés, paiements comptants et autres prestations du 2ème pilier</t>
  </si>
  <si>
    <t>Rachat fictif admis</t>
  </si>
  <si>
    <t>Moins les réserves latentes réalisées l'année précédant la liquidation</t>
  </si>
  <si>
    <t>Répartition du bénéfice de liquidation</t>
  </si>
  <si>
    <t>Bénéfice de liquidation à imposer séparément</t>
  </si>
  <si>
    <t>Dont part à imposer au barème applicable à la prévoyance</t>
  </si>
  <si>
    <t>Reste du bénéfice de liquidation</t>
  </si>
  <si>
    <t>Revenu déterminant retenu</t>
  </si>
  <si>
    <r>
      <t xml:space="preserve">Revenu déterminant maximal admis </t>
    </r>
    <r>
      <rPr>
        <i/>
        <sz val="10"/>
        <color theme="1"/>
        <rFont val="Calibri"/>
        <family val="2"/>
        <scheme val="minor"/>
      </rPr>
      <t>(salaire coordonné selon art. 8 al. 1 LPP x 10)</t>
    </r>
  </si>
  <si>
    <r>
      <t xml:space="preserve">Rachat fictif </t>
    </r>
    <r>
      <rPr>
        <i/>
        <sz val="10"/>
        <color theme="1"/>
        <rFont val="Calibri"/>
        <family val="2"/>
        <scheme val="minor"/>
      </rPr>
      <t>(revenu déterminant retenu x années de cotisations x 15%)</t>
    </r>
  </si>
  <si>
    <t>Civilité</t>
  </si>
  <si>
    <t>Avoirs du 3ème pilier A</t>
  </si>
  <si>
    <t>Prélèvements anticipés du 3ème pilier A</t>
  </si>
  <si>
    <t>Données du contribuable</t>
  </si>
  <si>
    <t>Montant maximal 3ème pilier A (selon tabelle OFAS)</t>
  </si>
  <si>
    <t>Perte de l'exercice commercial en cours</t>
  </si>
  <si>
    <t>Perte reportée</t>
  </si>
  <si>
    <t>Montant à soumettre à l'AVS</t>
  </si>
  <si>
    <t>Montant imposable à l'impôt ordinaire</t>
  </si>
  <si>
    <t>Montant imposable en PCAP</t>
  </si>
  <si>
    <t>Montant imposable en BL</t>
  </si>
  <si>
    <t>Autre :</t>
  </si>
  <si>
    <t>Frais de liquidation non comptabilisés</t>
  </si>
  <si>
    <t>Incrémenter de +1 les années, dans l'onglet Calculs et données variables, pour les tableaux "Période fiscale" et "Année de naissance"</t>
  </si>
  <si>
    <t>Compléter les tableaux "salaire coordonnée LPP" et "taux de bonification"</t>
  </si>
  <si>
    <t>Pieds de page à mettre à jour.</t>
  </si>
  <si>
    <t>Données du/de la contribuable</t>
  </si>
  <si>
    <t>Compléter l'onglet Tableau rachat, et modifier la formule de la cellule C48</t>
  </si>
  <si>
    <t>Paramètres</t>
  </si>
  <si>
    <t>Tabelle pour le calcul du montant maximal du 3e pilier a (selon les art. 60a, al. 2, OPP 2 et 7, al. 1, let. a, OPP 3) en fonction de l'année de naissance (le processus débute le 1er janvier de l'année des 25 ans)</t>
  </si>
  <si>
    <t>année</t>
  </si>
  <si>
    <t>Taux</t>
  </si>
  <si>
    <t>Cotisation max.</t>
  </si>
  <si>
    <t>calcul</t>
  </si>
  <si>
    <t>contrôle</t>
  </si>
  <si>
    <t>Salaire coordonné LPP</t>
  </si>
  <si>
    <t>Taux capitalisation</t>
  </si>
  <si>
    <t>Maximum âge RF</t>
  </si>
  <si>
    <t>Age de RF</t>
  </si>
  <si>
    <t>Année de cotisation</t>
  </si>
  <si>
    <t>AVS comptabilisée en lien avec le BL (montant effectif)*</t>
  </si>
  <si>
    <t>* lorsque des provisions AVS ont été comptabilisées pour la part de bénéfice imposable en bénéfice de liquidation. 
Déterminer le montant total des cotisations AVS comptabilisées pour l'année en cours, et retrancher la part qui concerne le résultat ordinaire. Le solde doit être introduit 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</si>
</sst>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quot;Domicile au 31.12.&quot;####"/>
    <numFmt numFmtId="165" formatCode="_ * #,##0_ ;_ * \-#,##0_ ;_ * &quot;-&quot;??_ ;_ @_ "/>
    <numFmt numFmtId="166" formatCode="0\ &quot;ans&quot;"/>
    <numFmt numFmtId="167" formatCode="#,##0_ ;\-#,##0\ "/>
    <numFmt numFmtId="168" formatCode="0_ ;\-0\ "/>
    <numFmt numFmtId="169" formatCode="_ * ###0_ ;_ * \-#,##0_ ;_ * &quot;&quot;??_ ;_ @_ "/>
    <numFmt numFmtId="170" formatCode="####;\ &quot;&quot;"/>
  </numFmts>
  <fonts count="35"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1"/>
      <color theme="1"/>
      <name val="Calibri"/>
      <family val="2"/>
      <scheme val="minor"/>
    </font>
    <font>
      <b/>
      <sz val="11"/>
      <color theme="0"/>
      <name val="Calibri"/>
      <family val="2"/>
      <scheme val="minor"/>
    </font>
    <font>
      <b/>
      <sz val="18"/>
      <color theme="1"/>
      <name val="Calibri"/>
      <family val="2"/>
      <scheme val="minor"/>
    </font>
    <font>
      <sz val="18"/>
      <color theme="1"/>
      <name val="Arial"/>
      <family val="2"/>
    </font>
    <font>
      <sz val="11"/>
      <color theme="1"/>
      <name val="Arial"/>
      <family val="2"/>
    </font>
    <font>
      <sz val="11"/>
      <color theme="1"/>
      <name val="Calibri"/>
      <family val="2"/>
      <scheme val="minor"/>
    </font>
    <font>
      <b/>
      <sz val="11"/>
      <name val="Calibri"/>
      <family val="2"/>
      <scheme val="minor"/>
    </font>
    <font>
      <b/>
      <sz val="12"/>
      <color theme="0"/>
      <name val="Calibri"/>
      <family val="2"/>
      <scheme val="minor"/>
    </font>
    <font>
      <b/>
      <i/>
      <sz val="9"/>
      <color theme="1"/>
      <name val="Calibri"/>
      <family val="2"/>
      <scheme val="minor"/>
    </font>
    <font>
      <sz val="11"/>
      <color theme="0"/>
      <name val="Calibri"/>
      <family val="2"/>
      <scheme val="minor"/>
    </font>
    <font>
      <b/>
      <sz val="10"/>
      <color theme="1"/>
      <name val="Arial"/>
      <family val="2"/>
    </font>
    <font>
      <b/>
      <i/>
      <sz val="10"/>
      <color theme="1"/>
      <name val="Calibri"/>
      <family val="2"/>
      <scheme val="minor"/>
    </font>
    <font>
      <i/>
      <sz val="10"/>
      <color theme="1"/>
      <name val="Calibri"/>
      <family val="2"/>
      <scheme val="minor"/>
    </font>
    <font>
      <sz val="8"/>
      <color indexed="81"/>
      <name val="Tahoma"/>
      <family val="2"/>
    </font>
    <font>
      <b/>
      <sz val="11"/>
      <color indexed="81"/>
      <name val="Calibri"/>
      <family val="2"/>
      <scheme val="minor"/>
    </font>
    <font>
      <sz val="8"/>
      <color rgb="FFFF0000"/>
      <name val="Calibri"/>
      <family val="2"/>
      <scheme val="minor"/>
    </font>
    <font>
      <b/>
      <i/>
      <sz val="10"/>
      <color rgb="FFFF0000"/>
      <name val="Calibri"/>
      <family val="2"/>
      <scheme val="minor"/>
    </font>
    <font>
      <i/>
      <sz val="8"/>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b/>
      <i/>
      <sz val="14"/>
      <color rgb="FFFF0000"/>
      <name val="Calibri"/>
      <family val="2"/>
      <scheme val="minor"/>
    </font>
    <font>
      <sz val="14"/>
      <color theme="1"/>
      <name val="Arial"/>
      <family val="2"/>
    </font>
    <font>
      <b/>
      <sz val="14"/>
      <color theme="0"/>
      <name val="Calibri"/>
      <family val="2"/>
      <scheme val="minor"/>
    </font>
    <font>
      <b/>
      <sz val="11"/>
      <color theme="1"/>
      <name val="Arial"/>
      <family val="2"/>
    </font>
    <font>
      <sz val="9"/>
      <name val="Arial"/>
      <family val="2"/>
    </font>
    <font>
      <b/>
      <sz val="11"/>
      <color theme="0"/>
      <name val="Arial"/>
      <family val="2"/>
    </font>
    <font>
      <b/>
      <sz val="9"/>
      <color theme="0"/>
      <name val="Arial"/>
      <family val="2"/>
    </font>
    <font>
      <sz val="9"/>
      <color theme="0"/>
      <name val="Arial"/>
      <family val="2"/>
    </font>
    <font>
      <sz val="9"/>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ED6D3C"/>
        <bgColor indexed="64"/>
      </patternFill>
    </fill>
  </fills>
  <borders count="14">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30" fillId="0" borderId="0"/>
    <xf numFmtId="43" fontId="30" fillId="0" borderId="0" applyFont="0" applyFill="0" applyBorder="0" applyAlignment="0" applyProtection="0"/>
    <xf numFmtId="9" fontId="30" fillId="0" borderId="0" applyFont="0" applyFill="0" applyBorder="0" applyAlignment="0" applyProtection="0"/>
  </cellStyleXfs>
  <cellXfs count="142">
    <xf numFmtId="0" fontId="0" fillId="0" borderId="0" xfId="0"/>
    <xf numFmtId="0" fontId="4" fillId="0" borderId="0" xfId="0" applyFont="1" applyProtection="1">
      <protection hidden="1"/>
    </xf>
    <xf numFmtId="0" fontId="4" fillId="0" borderId="0" xfId="0" applyFont="1" applyAlignment="1" applyProtection="1">
      <protection hidden="1"/>
    </xf>
    <xf numFmtId="0" fontId="5" fillId="0" borderId="8" xfId="0" applyFont="1" applyFill="1" applyBorder="1" applyAlignment="1" applyProtection="1">
      <protection hidden="1"/>
    </xf>
    <xf numFmtId="0" fontId="5" fillId="0" borderId="0" xfId="0" applyFont="1" applyFill="1" applyBorder="1" applyProtection="1">
      <protection hidden="1"/>
    </xf>
    <xf numFmtId="0" fontId="5" fillId="0" borderId="0" xfId="0" applyFont="1" applyFill="1" applyBorder="1" applyAlignment="1" applyProtection="1">
      <alignment horizontal="left"/>
      <protection hidden="1"/>
    </xf>
    <xf numFmtId="0" fontId="10" fillId="0" borderId="0" xfId="0" applyFont="1" applyProtection="1">
      <protection hidden="1"/>
    </xf>
    <xf numFmtId="0" fontId="10" fillId="0" borderId="0" xfId="0" applyFont="1" applyAlignment="1" applyProtection="1">
      <protection hidden="1"/>
    </xf>
    <xf numFmtId="0" fontId="10" fillId="0" borderId="0" xfId="0" applyFont="1" applyAlignment="1" applyProtection="1">
      <alignment horizontal="left"/>
      <protection hidden="1"/>
    </xf>
    <xf numFmtId="164" fontId="11" fillId="0" borderId="8" xfId="0" applyNumberFormat="1" applyFont="1" applyFill="1" applyBorder="1" applyAlignment="1" applyProtection="1">
      <alignment vertical="center"/>
      <protection hidden="1"/>
    </xf>
    <xf numFmtId="0" fontId="5" fillId="2" borderId="13" xfId="0" applyFont="1" applyFill="1" applyBorder="1" applyAlignment="1" applyProtection="1">
      <alignment horizontal="left"/>
      <protection locked="0"/>
    </xf>
    <xf numFmtId="0" fontId="5" fillId="0" borderId="0" xfId="0" applyFont="1" applyAlignment="1" applyProtection="1">
      <alignment horizontal="center"/>
      <protection hidden="1"/>
    </xf>
    <xf numFmtId="0" fontId="10" fillId="0" borderId="9" xfId="0" applyFont="1" applyBorder="1" applyAlignment="1" applyProtection="1">
      <alignment horizontal="left"/>
      <protection hidden="1"/>
    </xf>
    <xf numFmtId="165" fontId="10" fillId="0" borderId="13" xfId="1" applyNumberFormat="1" applyFont="1" applyBorder="1" applyAlignment="1" applyProtection="1">
      <protection hidden="1"/>
    </xf>
    <xf numFmtId="165" fontId="10" fillId="0" borderId="0" xfId="1" applyNumberFormat="1" applyFont="1" applyAlignment="1" applyProtection="1">
      <protection hidden="1"/>
    </xf>
    <xf numFmtId="0" fontId="5" fillId="0" borderId="0" xfId="0" applyFont="1" applyProtection="1">
      <protection hidden="1"/>
    </xf>
    <xf numFmtId="165" fontId="6" fillId="3" borderId="13" xfId="1" applyNumberFormat="1" applyFont="1" applyFill="1" applyBorder="1" applyAlignment="1" applyProtection="1">
      <protection hidden="1"/>
    </xf>
    <xf numFmtId="0" fontId="10" fillId="0" borderId="8" xfId="0" applyFont="1" applyBorder="1" applyAlignment="1" applyProtection="1">
      <alignment horizontal="left"/>
      <protection hidden="1"/>
    </xf>
    <xf numFmtId="0" fontId="5" fillId="2" borderId="13" xfId="0" applyFont="1" applyFill="1" applyBorder="1" applyAlignment="1" applyProtection="1">
      <alignment horizontal="center"/>
      <protection hidden="1"/>
    </xf>
    <xf numFmtId="0" fontId="5" fillId="2" borderId="13" xfId="1" applyNumberFormat="1" applyFont="1" applyFill="1" applyBorder="1" applyAlignment="1" applyProtection="1">
      <alignment horizontal="center"/>
      <protection hidden="1"/>
    </xf>
    <xf numFmtId="0" fontId="10" fillId="0" borderId="0" xfId="0" applyFont="1" applyBorder="1" applyAlignment="1" applyProtection="1">
      <alignment horizontal="left"/>
      <protection hidden="1"/>
    </xf>
    <xf numFmtId="0" fontId="5" fillId="0" borderId="13" xfId="0" applyFont="1" applyFill="1" applyBorder="1" applyAlignment="1" applyProtection="1">
      <alignment horizontal="center"/>
      <protection hidden="1"/>
    </xf>
    <xf numFmtId="0" fontId="5" fillId="0" borderId="0" xfId="0" applyFont="1" applyFill="1" applyAlignment="1" applyProtection="1">
      <alignment horizontal="center"/>
      <protection hidden="1"/>
    </xf>
    <xf numFmtId="0" fontId="0" fillId="0" borderId="0" xfId="0" applyProtection="1">
      <protection hidden="1"/>
    </xf>
    <xf numFmtId="0" fontId="9" fillId="0" borderId="0" xfId="0" applyFont="1" applyProtection="1">
      <protection hidden="1"/>
    </xf>
    <xf numFmtId="165" fontId="10" fillId="0" borderId="0" xfId="1" applyNumberFormat="1" applyFont="1" applyProtection="1">
      <protection hidden="1"/>
    </xf>
    <xf numFmtId="165" fontId="5" fillId="0" borderId="13" xfId="1" applyNumberFormat="1" applyFont="1" applyBorder="1" applyProtection="1">
      <protection hidden="1"/>
    </xf>
    <xf numFmtId="165" fontId="5" fillId="0" borderId="0" xfId="1" applyNumberFormat="1" applyFont="1" applyProtection="1">
      <protection hidden="1"/>
    </xf>
    <xf numFmtId="165" fontId="10" fillId="0" borderId="13" xfId="1" applyNumberFormat="1" applyFont="1" applyFill="1" applyBorder="1" applyProtection="1">
      <protection hidden="1"/>
    </xf>
    <xf numFmtId="165" fontId="14" fillId="3" borderId="13" xfId="1" applyNumberFormat="1" applyFont="1" applyFill="1" applyBorder="1" applyProtection="1">
      <protection hidden="1"/>
    </xf>
    <xf numFmtId="165" fontId="6" fillId="3" borderId="13" xfId="1" applyNumberFormat="1" applyFont="1" applyFill="1" applyBorder="1" applyProtection="1">
      <protection hidden="1"/>
    </xf>
    <xf numFmtId="165" fontId="5" fillId="2" borderId="13" xfId="1" applyNumberFormat="1" applyFont="1" applyFill="1" applyBorder="1" applyAlignment="1" applyProtection="1">
      <protection locked="0"/>
    </xf>
    <xf numFmtId="165" fontId="10" fillId="2" borderId="13" xfId="1" applyNumberFormat="1" applyFont="1" applyFill="1" applyBorder="1" applyProtection="1">
      <protection locked="0"/>
    </xf>
    <xf numFmtId="165" fontId="5" fillId="0" borderId="13" xfId="1" applyNumberFormat="1" applyFont="1" applyFill="1" applyBorder="1" applyProtection="1">
      <protection hidden="1"/>
    </xf>
    <xf numFmtId="166" fontId="10" fillId="0" borderId="13" xfId="1" applyNumberFormat="1" applyFont="1" applyFill="1" applyBorder="1" applyProtection="1">
      <protection hidden="1"/>
    </xf>
    <xf numFmtId="166" fontId="14" fillId="3" borderId="13" xfId="1" applyNumberFormat="1" applyFont="1" applyFill="1" applyBorder="1" applyProtection="1">
      <protection hidden="1"/>
    </xf>
    <xf numFmtId="0" fontId="15" fillId="0" borderId="0" xfId="0" applyFont="1" applyProtection="1">
      <protection hidden="1"/>
    </xf>
    <xf numFmtId="0" fontId="10" fillId="0" borderId="8" xfId="0" applyFont="1" applyBorder="1" applyAlignment="1" applyProtection="1">
      <alignment horizontal="left"/>
      <protection hidden="1"/>
    </xf>
    <xf numFmtId="0" fontId="10" fillId="0" borderId="9" xfId="0" applyFont="1" applyBorder="1" applyAlignment="1" applyProtection="1">
      <alignment horizontal="left"/>
      <protection hidden="1"/>
    </xf>
    <xf numFmtId="0" fontId="22" fillId="0" borderId="8" xfId="0" applyFont="1" applyBorder="1" applyAlignment="1" applyProtection="1">
      <alignment horizontal="left"/>
      <protection hidden="1"/>
    </xf>
    <xf numFmtId="0" fontId="0" fillId="0" borderId="0" xfId="0" applyBorder="1" applyProtection="1">
      <protection hidden="1"/>
    </xf>
    <xf numFmtId="0" fontId="0" fillId="0" borderId="9" xfId="0" applyBorder="1" applyProtection="1">
      <protection hidden="1"/>
    </xf>
    <xf numFmtId="0" fontId="10" fillId="0" borderId="12" xfId="0" applyFont="1" applyBorder="1" applyAlignment="1" applyProtection="1">
      <protection hidden="1"/>
    </xf>
    <xf numFmtId="0" fontId="24" fillId="0" borderId="0" xfId="0" applyFont="1" applyProtection="1">
      <protection hidden="1"/>
    </xf>
    <xf numFmtId="165" fontId="25" fillId="0" borderId="0" xfId="1" applyNumberFormat="1" applyFont="1" applyProtection="1">
      <protection hidden="1"/>
    </xf>
    <xf numFmtId="0" fontId="26" fillId="0" borderId="0" xfId="0" applyFont="1" applyProtection="1">
      <protection hidden="1"/>
    </xf>
    <xf numFmtId="0" fontId="27" fillId="0" borderId="0" xfId="0" applyFont="1" applyProtection="1">
      <protection hidden="1"/>
    </xf>
    <xf numFmtId="167" fontId="26" fillId="0" borderId="0" xfId="1" applyNumberFormat="1" applyFont="1" applyProtection="1">
      <protection hidden="1"/>
    </xf>
    <xf numFmtId="0" fontId="24" fillId="0" borderId="8" xfId="0" applyFont="1" applyBorder="1" applyAlignment="1" applyProtection="1">
      <protection hidden="1"/>
    </xf>
    <xf numFmtId="0" fontId="24" fillId="0" borderId="0" xfId="0" applyFont="1" applyBorder="1" applyAlignment="1" applyProtection="1">
      <protection hidden="1"/>
    </xf>
    <xf numFmtId="0" fontId="29" fillId="0" borderId="0" xfId="0" applyFont="1" applyAlignment="1" applyProtection="1">
      <alignment horizontal="right"/>
      <protection hidden="1"/>
    </xf>
    <xf numFmtId="0" fontId="31" fillId="8" borderId="0" xfId="3" applyFont="1" applyFill="1" applyAlignment="1">
      <alignment horizontal="center" vertical="center"/>
    </xf>
    <xf numFmtId="0" fontId="30" fillId="0" borderId="0" xfId="3" applyFont="1"/>
    <xf numFmtId="0" fontId="32" fillId="8" borderId="0" xfId="3" applyFont="1" applyFill="1" applyAlignment="1">
      <alignment horizontal="center" vertical="center"/>
    </xf>
    <xf numFmtId="0" fontId="32" fillId="8" borderId="0" xfId="3" applyFont="1" applyFill="1" applyAlignment="1">
      <alignment horizontal="center" vertical="center" wrapText="1"/>
    </xf>
    <xf numFmtId="0" fontId="30" fillId="8" borderId="4" xfId="3" applyFont="1" applyFill="1" applyBorder="1"/>
    <xf numFmtId="168" fontId="33" fillId="8" borderId="4" xfId="4" applyNumberFormat="1" applyFont="1" applyFill="1" applyBorder="1" applyAlignment="1">
      <alignment horizontal="center"/>
    </xf>
    <xf numFmtId="0" fontId="30" fillId="6" borderId="0" xfId="3" applyFont="1" applyFill="1"/>
    <xf numFmtId="10" fontId="30" fillId="6" borderId="0" xfId="5" applyNumberFormat="1" applyFont="1" applyFill="1"/>
    <xf numFmtId="165" fontId="30" fillId="6" borderId="0" xfId="4" applyNumberFormat="1" applyFont="1" applyFill="1"/>
    <xf numFmtId="0" fontId="33" fillId="8" borderId="4" xfId="3" applyFont="1" applyFill="1" applyBorder="1" applyAlignment="1">
      <alignment horizontal="center"/>
    </xf>
    <xf numFmtId="165" fontId="30" fillId="6" borderId="4" xfId="4" applyNumberFormat="1" applyFont="1" applyFill="1" applyBorder="1" applyAlignment="1">
      <alignment horizontal="center"/>
    </xf>
    <xf numFmtId="165" fontId="34" fillId="6" borderId="4" xfId="4" applyNumberFormat="1" applyFont="1" applyFill="1" applyBorder="1" applyAlignment="1">
      <alignment horizontal="center"/>
    </xf>
    <xf numFmtId="0" fontId="33" fillId="8" borderId="0" xfId="3" applyFont="1" applyFill="1" applyBorder="1" applyAlignment="1">
      <alignment horizontal="center"/>
    </xf>
    <xf numFmtId="0" fontId="9" fillId="0" borderId="0" xfId="3" applyFont="1"/>
    <xf numFmtId="0" fontId="30" fillId="8" borderId="0" xfId="3" applyFont="1" applyFill="1"/>
    <xf numFmtId="165" fontId="30" fillId="6" borderId="4" xfId="1" applyNumberFormat="1" applyFont="1" applyFill="1" applyBorder="1" applyAlignment="1">
      <alignment horizontal="center"/>
    </xf>
    <xf numFmtId="169" fontId="5" fillId="2" borderId="13" xfId="1" applyNumberFormat="1" applyFont="1" applyFill="1" applyBorder="1" applyAlignment="1" applyProtection="1">
      <alignment horizontal="left"/>
      <protection hidden="1"/>
    </xf>
    <xf numFmtId="0" fontId="29" fillId="0" borderId="0" xfId="0" applyFont="1" applyFill="1" applyAlignment="1" applyProtection="1">
      <alignment horizontal="right"/>
      <protection hidden="1"/>
    </xf>
    <xf numFmtId="0" fontId="20" fillId="0" borderId="0" xfId="0" applyFont="1" applyFill="1" applyAlignment="1" applyProtection="1">
      <alignment vertical="center"/>
      <protection hidden="1"/>
    </xf>
    <xf numFmtId="0" fontId="5" fillId="2" borderId="13" xfId="0" applyFont="1" applyFill="1" applyBorder="1" applyAlignment="1" applyProtection="1">
      <alignment horizontal="left"/>
      <protection locked="0" hidden="1"/>
    </xf>
    <xf numFmtId="0" fontId="5" fillId="2" borderId="13" xfId="0" applyNumberFormat="1" applyFont="1" applyFill="1" applyBorder="1" applyAlignment="1" applyProtection="1">
      <alignment horizontal="left"/>
      <protection locked="0" hidden="1"/>
    </xf>
    <xf numFmtId="0" fontId="5" fillId="0" borderId="13" xfId="1" applyNumberFormat="1" applyFont="1" applyFill="1" applyBorder="1" applyAlignment="1" applyProtection="1">
      <alignment horizontal="center" vertical="center"/>
      <protection hidden="1"/>
    </xf>
    <xf numFmtId="170" fontId="5" fillId="0" borderId="13" xfId="0" applyNumberFormat="1" applyFont="1" applyFill="1" applyBorder="1" applyAlignment="1" applyProtection="1">
      <alignment horizontal="center"/>
      <protection hidden="1"/>
    </xf>
    <xf numFmtId="165" fontId="2" fillId="2" borderId="13" xfId="1" applyNumberFormat="1" applyFont="1" applyFill="1" applyBorder="1" applyAlignment="1" applyProtection="1">
      <protection locked="0"/>
    </xf>
    <xf numFmtId="165" fontId="2" fillId="2" borderId="13" xfId="1" applyNumberFormat="1" applyFont="1" applyFill="1" applyBorder="1" applyProtection="1">
      <protection locked="0"/>
    </xf>
    <xf numFmtId="41" fontId="30" fillId="6" borderId="0" xfId="3" applyNumberFormat="1" applyFont="1" applyFill="1"/>
    <xf numFmtId="9" fontId="30" fillId="6" borderId="0" xfId="2" applyFont="1" applyFill="1"/>
    <xf numFmtId="0" fontId="32" fillId="8" borderId="0" xfId="3" applyFont="1" applyFill="1" applyAlignment="1">
      <alignment horizontal="center" vertical="center" wrapText="1"/>
    </xf>
    <xf numFmtId="169" fontId="0" fillId="0" borderId="0" xfId="0" applyNumberFormat="1" applyProtection="1">
      <protection hidden="1"/>
    </xf>
    <xf numFmtId="0" fontId="1" fillId="0" borderId="0" xfId="0" quotePrefix="1" applyFont="1" applyProtection="1">
      <protection hidden="1"/>
    </xf>
    <xf numFmtId="165" fontId="10" fillId="0" borderId="0" xfId="0" applyNumberFormat="1" applyFont="1" applyProtection="1">
      <protection hidden="1"/>
    </xf>
    <xf numFmtId="43" fontId="10" fillId="0" borderId="13" xfId="1" applyNumberFormat="1" applyFont="1" applyFill="1" applyBorder="1" applyProtection="1">
      <protection hidden="1"/>
    </xf>
    <xf numFmtId="43" fontId="10" fillId="2" borderId="13" xfId="1" applyNumberFormat="1" applyFont="1" applyFill="1" applyBorder="1" applyProtection="1">
      <protection locked="0"/>
    </xf>
    <xf numFmtId="43" fontId="0" fillId="0" borderId="0" xfId="0" applyNumberFormat="1" applyProtection="1">
      <protection hidden="1"/>
    </xf>
    <xf numFmtId="0" fontId="1" fillId="0" borderId="8" xfId="0" applyFont="1" applyBorder="1" applyAlignment="1" applyProtection="1">
      <alignment horizontal="left"/>
      <protection hidden="1"/>
    </xf>
    <xf numFmtId="165" fontId="1" fillId="2" borderId="13" xfId="1" applyNumberFormat="1" applyFont="1" applyFill="1" applyBorder="1" applyAlignment="1" applyProtection="1">
      <protection locked="0"/>
    </xf>
    <xf numFmtId="165" fontId="1" fillId="0" borderId="0" xfId="1" applyNumberFormat="1" applyFont="1" applyProtection="1">
      <protection hidden="1"/>
    </xf>
    <xf numFmtId="0" fontId="1" fillId="0" borderId="0" xfId="0" applyFont="1" applyProtection="1">
      <protection hidden="1"/>
    </xf>
    <xf numFmtId="0" fontId="4" fillId="0" borderId="1" xfId="0" applyFont="1" applyBorder="1" applyAlignment="1" applyProtection="1">
      <alignment horizontal="center"/>
      <protection hidden="1"/>
    </xf>
    <xf numFmtId="0" fontId="0" fillId="0" borderId="2" xfId="0" applyBorder="1" applyProtection="1">
      <protection hidden="1"/>
    </xf>
    <xf numFmtId="0" fontId="0" fillId="0" borderId="3" xfId="0" applyBorder="1" applyProtection="1">
      <protection hidden="1"/>
    </xf>
    <xf numFmtId="0" fontId="0" fillId="0" borderId="5" xfId="0" applyBorder="1" applyProtection="1">
      <protection hidden="1"/>
    </xf>
    <xf numFmtId="0" fontId="0" fillId="0" borderId="0"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7" fillId="0" borderId="1" xfId="0" applyFont="1" applyBorder="1" applyAlignment="1" applyProtection="1">
      <alignment horizontal="center" vertical="center" wrapText="1"/>
      <protection hidden="1"/>
    </xf>
    <xf numFmtId="0" fontId="8" fillId="0" borderId="2" xfId="0" applyFont="1" applyBorder="1" applyProtection="1">
      <protection hidden="1"/>
    </xf>
    <xf numFmtId="0" fontId="8" fillId="0" borderId="3" xfId="0" applyFont="1" applyBorder="1" applyProtection="1">
      <protection hidden="1"/>
    </xf>
    <xf numFmtId="0" fontId="8" fillId="0" borderId="5" xfId="0" applyFont="1" applyBorder="1" applyProtection="1">
      <protection hidden="1"/>
    </xf>
    <xf numFmtId="0" fontId="8" fillId="0" borderId="0" xfId="0" applyFont="1" applyBorder="1" applyProtection="1">
      <protection hidden="1"/>
    </xf>
    <xf numFmtId="0" fontId="8" fillId="0" borderId="6" xfId="0" applyFont="1" applyBorder="1" applyProtection="1">
      <protection hidden="1"/>
    </xf>
    <xf numFmtId="0" fontId="8" fillId="0" borderId="7" xfId="0" applyFont="1" applyBorder="1" applyProtection="1">
      <protection hidden="1"/>
    </xf>
    <xf numFmtId="0" fontId="8" fillId="0" borderId="8" xfId="0" applyFont="1" applyBorder="1" applyProtection="1">
      <protection hidden="1"/>
    </xf>
    <xf numFmtId="0" fontId="8" fillId="0" borderId="9" xfId="0" applyFont="1" applyBorder="1" applyProtection="1">
      <protection hidden="1"/>
    </xf>
    <xf numFmtId="49" fontId="5" fillId="2" borderId="10" xfId="0" applyNumberFormat="1" applyFont="1" applyFill="1" applyBorder="1" applyAlignment="1" applyProtection="1">
      <alignment horizontal="left"/>
      <protection locked="0"/>
    </xf>
    <xf numFmtId="49" fontId="9" fillId="0" borderId="11" xfId="0" applyNumberFormat="1" applyFont="1" applyBorder="1" applyAlignment="1" applyProtection="1">
      <alignment horizontal="left"/>
      <protection locked="0"/>
    </xf>
    <xf numFmtId="0" fontId="5" fillId="0" borderId="8" xfId="0" applyFont="1" applyBorder="1" applyAlignment="1" applyProtection="1">
      <alignment horizontal="left"/>
      <protection hidden="1"/>
    </xf>
    <xf numFmtId="0" fontId="5" fillId="0" borderId="9" xfId="0" applyFont="1" applyBorder="1" applyAlignment="1" applyProtection="1">
      <alignment horizontal="left"/>
      <protection hidden="1"/>
    </xf>
    <xf numFmtId="0" fontId="12" fillId="3" borderId="0" xfId="0" applyFont="1" applyFill="1" applyAlignment="1" applyProtection="1">
      <alignment horizontal="center"/>
      <protection hidden="1"/>
    </xf>
    <xf numFmtId="0" fontId="10" fillId="2" borderId="13" xfId="0" applyFont="1" applyFill="1" applyBorder="1" applyAlignment="1" applyProtection="1">
      <alignment horizontal="center"/>
      <protection hidden="1"/>
    </xf>
    <xf numFmtId="0" fontId="5" fillId="2" borderId="10" xfId="0" applyFont="1" applyFill="1" applyBorder="1" applyAlignment="1" applyProtection="1">
      <alignment horizontal="left"/>
      <protection locked="0"/>
    </xf>
    <xf numFmtId="0" fontId="9" fillId="0" borderId="11" xfId="0" applyFont="1" applyBorder="1" applyAlignment="1" applyProtection="1">
      <alignment horizontal="left"/>
      <protection locked="0"/>
    </xf>
    <xf numFmtId="0" fontId="10" fillId="0" borderId="8" xfId="0" applyFont="1" applyBorder="1" applyAlignment="1" applyProtection="1">
      <alignment horizontal="left"/>
      <protection hidden="1"/>
    </xf>
    <xf numFmtId="0" fontId="10" fillId="2" borderId="10" xfId="0" applyFont="1" applyFill="1" applyBorder="1" applyAlignment="1" applyProtection="1">
      <alignment horizontal="left"/>
      <protection locked="0"/>
    </xf>
    <xf numFmtId="0" fontId="10" fillId="2" borderId="12" xfId="0" applyFont="1" applyFill="1" applyBorder="1" applyAlignment="1" applyProtection="1">
      <alignment horizontal="left"/>
      <protection locked="0"/>
    </xf>
    <xf numFmtId="0" fontId="10" fillId="2" borderId="11" xfId="0" applyFont="1" applyFill="1" applyBorder="1" applyAlignment="1" applyProtection="1">
      <alignment horizontal="left"/>
      <protection locked="0"/>
    </xf>
    <xf numFmtId="0" fontId="16" fillId="0" borderId="0" xfId="0" applyFont="1" applyAlignment="1" applyProtection="1">
      <alignment horizontal="left" wrapText="1"/>
      <protection hidden="1"/>
    </xf>
    <xf numFmtId="0" fontId="10" fillId="0" borderId="9" xfId="0" applyFont="1" applyBorder="1" applyAlignment="1" applyProtection="1">
      <alignment horizontal="left"/>
      <protection hidden="1"/>
    </xf>
    <xf numFmtId="0" fontId="23" fillId="0" borderId="8" xfId="0" applyFont="1" applyBorder="1" applyAlignment="1" applyProtection="1">
      <alignment horizontal="left"/>
      <protection hidden="1"/>
    </xf>
    <xf numFmtId="0" fontId="23" fillId="0" borderId="9" xfId="0" applyFont="1" applyBorder="1" applyAlignment="1" applyProtection="1">
      <alignment horizontal="left"/>
      <protection hidden="1"/>
    </xf>
    <xf numFmtId="165" fontId="21" fillId="0" borderId="0" xfId="1" applyNumberFormat="1" applyFont="1" applyFill="1" applyAlignment="1" applyProtection="1">
      <alignment horizontal="center"/>
      <protection hidden="1"/>
    </xf>
    <xf numFmtId="0" fontId="5" fillId="0" borderId="12"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21" fillId="0" borderId="0" xfId="0" applyFont="1" applyFill="1" applyAlignment="1" applyProtection="1">
      <alignment horizontal="right"/>
      <protection hidden="1"/>
    </xf>
    <xf numFmtId="0" fontId="10" fillId="0" borderId="12" xfId="0" applyFont="1" applyBorder="1" applyAlignment="1" applyProtection="1">
      <alignment horizontal="left"/>
      <protection hidden="1"/>
    </xf>
    <xf numFmtId="0" fontId="10" fillId="0" borderId="11" xfId="0" applyFont="1" applyBorder="1" applyAlignment="1" applyProtection="1">
      <alignment horizontal="left"/>
      <protection hidden="1"/>
    </xf>
    <xf numFmtId="169" fontId="5" fillId="2" borderId="10" xfId="0" applyNumberFormat="1" applyFont="1" applyFill="1" applyBorder="1" applyAlignment="1" applyProtection="1">
      <alignment horizontal="left"/>
      <protection hidden="1"/>
    </xf>
    <xf numFmtId="169" fontId="9" fillId="0" borderId="11" xfId="0" applyNumberFormat="1" applyFont="1" applyBorder="1" applyAlignment="1" applyProtection="1">
      <alignment horizontal="left"/>
      <protection hidden="1"/>
    </xf>
    <xf numFmtId="165" fontId="25" fillId="7" borderId="10" xfId="1" applyNumberFormat="1" applyFont="1" applyFill="1" applyBorder="1" applyAlignment="1" applyProtection="1">
      <alignment horizontal="center"/>
      <protection hidden="1"/>
    </xf>
    <xf numFmtId="165" fontId="25" fillId="7" borderId="11" xfId="1" applyNumberFormat="1" applyFont="1" applyFill="1" applyBorder="1" applyAlignment="1" applyProtection="1">
      <alignment horizontal="center"/>
      <protection hidden="1"/>
    </xf>
    <xf numFmtId="165" fontId="25" fillId="5" borderId="10" xfId="1" applyNumberFormat="1" applyFont="1" applyFill="1" applyBorder="1" applyAlignment="1" applyProtection="1">
      <alignment horizontal="center"/>
      <protection hidden="1"/>
    </xf>
    <xf numFmtId="165" fontId="25" fillId="5" borderId="11" xfId="1" applyNumberFormat="1" applyFont="1" applyFill="1" applyBorder="1" applyAlignment="1" applyProtection="1">
      <alignment horizontal="center"/>
      <protection hidden="1"/>
    </xf>
    <xf numFmtId="165" fontId="25" fillId="6" borderId="10" xfId="1" applyNumberFormat="1" applyFont="1" applyFill="1" applyBorder="1" applyAlignment="1" applyProtection="1">
      <alignment horizontal="center"/>
      <protection hidden="1"/>
    </xf>
    <xf numFmtId="165" fontId="25" fillId="6" borderId="11" xfId="1" applyNumberFormat="1" applyFont="1" applyFill="1" applyBorder="1" applyAlignment="1" applyProtection="1">
      <alignment horizontal="center"/>
      <protection hidden="1"/>
    </xf>
    <xf numFmtId="0" fontId="28" fillId="3" borderId="0" xfId="0" applyFont="1" applyFill="1" applyAlignment="1" applyProtection="1">
      <alignment horizontal="center"/>
      <protection hidden="1"/>
    </xf>
    <xf numFmtId="165" fontId="25" fillId="4" borderId="10" xfId="1" applyNumberFormat="1" applyFont="1" applyFill="1" applyBorder="1" applyAlignment="1" applyProtection="1">
      <alignment horizontal="center"/>
      <protection hidden="1"/>
    </xf>
    <xf numFmtId="165" fontId="25" fillId="4" borderId="11" xfId="1" applyNumberFormat="1" applyFont="1" applyFill="1" applyBorder="1" applyAlignment="1" applyProtection="1">
      <alignment horizontal="center"/>
      <protection hidden="1"/>
    </xf>
    <xf numFmtId="0" fontId="31" fillId="8" borderId="0" xfId="3" applyFont="1" applyFill="1" applyAlignment="1">
      <alignment horizontal="center" vertical="center"/>
    </xf>
    <xf numFmtId="0" fontId="32" fillId="8" borderId="0" xfId="3" applyFont="1" applyFill="1" applyAlignment="1">
      <alignment horizontal="center" vertical="center" wrapText="1"/>
    </xf>
  </cellXfs>
  <cellStyles count="6">
    <cellStyle name="Milliers" xfId="1" builtinId="3"/>
    <cellStyle name="Milliers 2" xfId="4" xr:uid="{00000000-0005-0000-0000-000001000000}"/>
    <cellStyle name="Normal" xfId="0" builtinId="0"/>
    <cellStyle name="Normal 2" xfId="3" xr:uid="{00000000-0005-0000-0000-000003000000}"/>
    <cellStyle name="Pourcentage" xfId="2" builtinId="5"/>
    <cellStyle name="Pourcentage 2" xfId="5" xr:uid="{00000000-0005-0000-0000-000005000000}"/>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85725</xdr:rowOff>
    </xdr:from>
    <xdr:to>
      <xdr:col>2</xdr:col>
      <xdr:colOff>775252</xdr:colOff>
      <xdr:row>4</xdr:row>
      <xdr:rowOff>104775</xdr:rowOff>
    </xdr:to>
    <xdr:pic>
      <xdr:nvPicPr>
        <xdr:cNvPr id="2" name="Image 1" descr="01ne.ch_CMYK - CONTRI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6200" y="85725"/>
          <a:ext cx="2356402" cy="400050"/>
        </a:xfrm>
        <a:prstGeom prst="rect">
          <a:avLst/>
        </a:prstGeom>
      </xdr:spPr>
    </xdr:pic>
    <xdr:clientData/>
  </xdr:twoCellAnchor>
  <xdr:twoCellAnchor>
    <xdr:from>
      <xdr:col>7</xdr:col>
      <xdr:colOff>431425</xdr:colOff>
      <xdr:row>55</xdr:row>
      <xdr:rowOff>25216</xdr:rowOff>
    </xdr:from>
    <xdr:to>
      <xdr:col>7</xdr:col>
      <xdr:colOff>798416</xdr:colOff>
      <xdr:row>56</xdr:row>
      <xdr:rowOff>151280</xdr:rowOff>
    </xdr:to>
    <xdr:sp macro="" textlink="">
      <xdr:nvSpPr>
        <xdr:cNvPr id="16" name="Flèche à angle droit 15">
          <a:extLst>
            <a:ext uri="{FF2B5EF4-FFF2-40B4-BE49-F238E27FC236}">
              <a16:creationId xmlns:a16="http://schemas.microsoft.com/office/drawing/2014/main" id="{00000000-0008-0000-0000-000010000000}"/>
            </a:ext>
          </a:extLst>
        </xdr:cNvPr>
        <xdr:cNvSpPr/>
      </xdr:nvSpPr>
      <xdr:spPr>
        <a:xfrm rot="5400000">
          <a:off x="5555315" y="7748870"/>
          <a:ext cx="182093" cy="366991"/>
        </a:xfrm>
        <a:prstGeom prst="bentUpArrow">
          <a:avLst>
            <a:gd name="adj1" fmla="val 25000"/>
            <a:gd name="adj2" fmla="val 25000"/>
            <a:gd name="adj3" fmla="val 50000"/>
          </a:avLst>
        </a:prstGeom>
      </xdr:spPr>
      <xdr:style>
        <a:lnRef idx="1">
          <a:schemeClr val="dk1"/>
        </a:lnRef>
        <a:fillRef idx="3">
          <a:schemeClr val="dk1"/>
        </a:fillRef>
        <a:effectRef idx="2">
          <a:schemeClr val="dk1"/>
        </a:effectRef>
        <a:fontRef idx="minor">
          <a:schemeClr val="lt1"/>
        </a:fontRef>
      </xdr:style>
      <xdr:txBody>
        <a:bodyPr vertOverflow="clip" rtlCol="0" anchor="ctr"/>
        <a:lstStyle/>
        <a:p>
          <a:pPr algn="ctr"/>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2</xdr:row>
      <xdr:rowOff>85725</xdr:rowOff>
    </xdr:from>
    <xdr:to>
      <xdr:col>2</xdr:col>
      <xdr:colOff>775252</xdr:colOff>
      <xdr:row>4</xdr:row>
      <xdr:rowOff>104775</xdr:rowOff>
    </xdr:to>
    <xdr:pic>
      <xdr:nvPicPr>
        <xdr:cNvPr id="2" name="Image 1" descr="01ne.ch_CMYK - CONTRIB.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76200" y="85725"/>
          <a:ext cx="2356402"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2</xdr:col>
      <xdr:colOff>737152</xdr:colOff>
      <xdr:row>4</xdr:row>
      <xdr:rowOff>123825</xdr:rowOff>
    </xdr:to>
    <xdr:pic>
      <xdr:nvPicPr>
        <xdr:cNvPr id="4" name="Image 3" descr="01ne.ch_CMYK - CONTRIB.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76200" y="47625"/>
          <a:ext cx="2356402" cy="400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39</xdr:col>
      <xdr:colOff>642938</xdr:colOff>
      <xdr:row>50</xdr:row>
      <xdr:rowOff>37819</xdr:rowOff>
    </xdr:from>
    <xdr:to>
      <xdr:col>58</xdr:col>
      <xdr:colOff>22081</xdr:colOff>
      <xdr:row>111</xdr:row>
      <xdr:rowOff>114449</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5676879" y="8117260"/>
          <a:ext cx="13857143" cy="9680071"/>
        </a:xfrm>
        <a:prstGeom prst="rect">
          <a:avLst/>
        </a:prstGeom>
      </xdr:spPr>
    </xdr:pic>
    <xdr:clientData/>
  </xdr:twoCellAnchor>
  <xdr:twoCellAnchor editAs="oneCell">
    <xdr:from>
      <xdr:col>39</xdr:col>
      <xdr:colOff>660586</xdr:colOff>
      <xdr:row>112</xdr:row>
      <xdr:rowOff>57149</xdr:rowOff>
    </xdr:from>
    <xdr:to>
      <xdr:col>58</xdr:col>
      <xdr:colOff>1633</xdr:colOff>
      <xdr:row>170</xdr:row>
      <xdr:rowOff>99602</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25694527" y="17896914"/>
          <a:ext cx="13819047" cy="9141629"/>
        </a:xfrm>
        <a:prstGeom prst="rect">
          <a:avLst/>
        </a:prstGeom>
      </xdr:spPr>
    </xdr:pic>
    <xdr:clientData/>
  </xdr:twoCellAnchor>
  <xdr:twoCellAnchor editAs="oneCell">
    <xdr:from>
      <xdr:col>49</xdr:col>
      <xdr:colOff>0</xdr:colOff>
      <xdr:row>6</xdr:row>
      <xdr:rowOff>0</xdr:rowOff>
    </xdr:from>
    <xdr:to>
      <xdr:col>55</xdr:col>
      <xdr:colOff>429323</xdr:colOff>
      <xdr:row>21</xdr:row>
      <xdr:rowOff>104557</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30524824" y="1120588"/>
          <a:ext cx="5001323" cy="2457793"/>
        </a:xfrm>
        <a:prstGeom prst="rect">
          <a:avLst/>
        </a:prstGeom>
      </xdr:spPr>
    </xdr:pic>
    <xdr:clientData/>
  </xdr:twoCellAnchor>
  <xdr:twoCellAnchor editAs="oneCell">
    <xdr:from>
      <xdr:col>39</xdr:col>
      <xdr:colOff>470648</xdr:colOff>
      <xdr:row>0</xdr:row>
      <xdr:rowOff>0</xdr:rowOff>
    </xdr:from>
    <xdr:to>
      <xdr:col>48</xdr:col>
      <xdr:colOff>376342</xdr:colOff>
      <xdr:row>49</xdr:row>
      <xdr:rowOff>146242</xdr:rowOff>
    </xdr:to>
    <xdr:pic>
      <xdr:nvPicPr>
        <xdr:cNvPr id="6" name="Image 5">
          <a:extLst>
            <a:ext uri="{FF2B5EF4-FFF2-40B4-BE49-F238E27FC236}">
              <a16:creationId xmlns:a16="http://schemas.microsoft.com/office/drawing/2014/main" id="{523295B3-A606-4ECE-BDA1-2526886C71E2}"/>
            </a:ext>
          </a:extLst>
        </xdr:cNvPr>
        <xdr:cNvPicPr>
          <a:picLocks noChangeAspect="1"/>
        </xdr:cNvPicPr>
      </xdr:nvPicPr>
      <xdr:blipFill>
        <a:blip xmlns:r="http://schemas.openxmlformats.org/officeDocument/2006/relationships" r:embed="rId4"/>
        <a:stretch>
          <a:fillRect/>
        </a:stretch>
      </xdr:blipFill>
      <xdr:spPr>
        <a:xfrm>
          <a:off x="25504589" y="0"/>
          <a:ext cx="6763694" cy="80688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62"/>
  <sheetViews>
    <sheetView showGridLines="0" tabSelected="1" zoomScaleNormal="100" workbookViewId="0">
      <selection activeCell="L23" sqref="L23"/>
    </sheetView>
  </sheetViews>
  <sheetFormatPr baseColWidth="10" defaultColWidth="11.42578125" defaultRowHeight="12.75" x14ac:dyDescent="0.2"/>
  <cols>
    <col min="1" max="6" width="12.42578125" style="23" customWidth="1"/>
    <col min="7" max="7" width="0.85546875" style="23" customWidth="1"/>
    <col min="8" max="9" width="12.42578125" style="23" customWidth="1"/>
  </cols>
  <sheetData>
    <row r="1" spans="1:9" ht="15" x14ac:dyDescent="0.25">
      <c r="I1" s="68" t="str">
        <f>IF(C12="","",CONCATENATE(C12," / ",H14))</f>
        <v/>
      </c>
    </row>
    <row r="2" spans="1:9" ht="6.75" customHeight="1" x14ac:dyDescent="0.2"/>
    <row r="3" spans="1:9" ht="15.2" customHeight="1" x14ac:dyDescent="0.2">
      <c r="A3" s="89"/>
      <c r="B3" s="90"/>
      <c r="C3" s="91"/>
      <c r="D3" s="98" t="s">
        <v>0</v>
      </c>
      <c r="E3" s="99"/>
      <c r="F3" s="99"/>
      <c r="G3" s="99"/>
      <c r="H3" s="99"/>
      <c r="I3" s="100"/>
    </row>
    <row r="4" spans="1:9" ht="15.2" customHeight="1" x14ac:dyDescent="0.2">
      <c r="A4" s="92"/>
      <c r="B4" s="93"/>
      <c r="C4" s="94"/>
      <c r="D4" s="101"/>
      <c r="E4" s="102"/>
      <c r="F4" s="102"/>
      <c r="G4" s="102"/>
      <c r="H4" s="102"/>
      <c r="I4" s="103"/>
    </row>
    <row r="5" spans="1:9" ht="15.2" customHeight="1" x14ac:dyDescent="0.2">
      <c r="A5" s="95"/>
      <c r="B5" s="96"/>
      <c r="C5" s="97"/>
      <c r="D5" s="104"/>
      <c r="E5" s="105"/>
      <c r="F5" s="105"/>
      <c r="G5" s="105"/>
      <c r="H5" s="105"/>
      <c r="I5" s="106"/>
    </row>
    <row r="6" spans="1:9" x14ac:dyDescent="0.2">
      <c r="A6" s="1"/>
      <c r="B6" s="1"/>
      <c r="C6" s="1"/>
      <c r="D6" s="1"/>
      <c r="E6" s="1"/>
      <c r="F6" s="1"/>
      <c r="G6" s="1"/>
      <c r="H6" s="1"/>
      <c r="I6" s="1"/>
    </row>
    <row r="7" spans="1:9" x14ac:dyDescent="0.2">
      <c r="A7" s="1"/>
      <c r="B7" s="1"/>
      <c r="C7" s="1"/>
      <c r="D7" s="1"/>
      <c r="E7" s="1"/>
      <c r="F7" s="1"/>
      <c r="G7" s="1"/>
      <c r="H7" s="1"/>
      <c r="I7" s="1"/>
    </row>
    <row r="8" spans="1:9" ht="15.75" x14ac:dyDescent="0.25">
      <c r="A8" s="111" t="s">
        <v>74</v>
      </c>
      <c r="B8" s="111"/>
      <c r="C8" s="111"/>
      <c r="D8" s="111"/>
      <c r="E8" s="111"/>
      <c r="F8" s="111"/>
      <c r="G8" s="111"/>
      <c r="H8" s="111"/>
      <c r="I8" s="111"/>
    </row>
    <row r="9" spans="1:9" x14ac:dyDescent="0.2">
      <c r="A9" s="1"/>
      <c r="B9" s="1"/>
      <c r="C9" s="69" t="str">
        <f>IF(C10="","Veuillez saisir l'état civil !","")</f>
        <v>Veuillez saisir l'état civil !</v>
      </c>
      <c r="D9" s="1"/>
      <c r="E9" s="1"/>
      <c r="F9" s="1"/>
      <c r="G9" s="1"/>
      <c r="H9" s="1"/>
      <c r="I9" s="1"/>
    </row>
    <row r="10" spans="1:9" ht="15" x14ac:dyDescent="0.25">
      <c r="A10" s="3" t="s">
        <v>58</v>
      </c>
      <c r="B10" s="3"/>
      <c r="C10" s="70"/>
      <c r="E10" s="3" t="s">
        <v>5</v>
      </c>
      <c r="F10" s="3"/>
      <c r="G10" s="3"/>
      <c r="H10" s="107"/>
      <c r="I10" s="108"/>
    </row>
    <row r="11" spans="1:9" ht="5.25" customHeight="1" x14ac:dyDescent="0.25">
      <c r="A11" s="4"/>
      <c r="B11" s="4"/>
      <c r="C11" s="5"/>
      <c r="E11" s="7"/>
      <c r="F11" s="6"/>
      <c r="G11" s="6"/>
      <c r="H11" s="5"/>
      <c r="I11" s="8"/>
    </row>
    <row r="12" spans="1:9" ht="15" x14ac:dyDescent="0.25">
      <c r="A12" s="3" t="s">
        <v>3</v>
      </c>
      <c r="B12" s="3"/>
      <c r="C12" s="10"/>
      <c r="E12" s="3" t="s">
        <v>1</v>
      </c>
      <c r="F12" s="3"/>
      <c r="G12" s="3"/>
      <c r="H12" s="113"/>
      <c r="I12" s="114"/>
    </row>
    <row r="13" spans="1:9" ht="5.25" customHeight="1" x14ac:dyDescent="0.25">
      <c r="A13" s="6"/>
      <c r="B13" s="6"/>
      <c r="C13" s="8"/>
      <c r="E13" s="7"/>
      <c r="F13" s="6"/>
      <c r="G13" s="6"/>
      <c r="H13" s="8"/>
      <c r="I13" s="8"/>
    </row>
    <row r="14" spans="1:9" ht="15" x14ac:dyDescent="0.25">
      <c r="A14" s="3" t="s">
        <v>4</v>
      </c>
      <c r="B14" s="3"/>
      <c r="C14" s="71"/>
      <c r="E14" s="9" t="s">
        <v>2</v>
      </c>
      <c r="F14" s="9"/>
      <c r="G14" s="9"/>
      <c r="H14" s="71"/>
    </row>
    <row r="15" spans="1:9" x14ac:dyDescent="0.2">
      <c r="A15" s="1"/>
      <c r="B15" s="1"/>
      <c r="C15" s="69" t="str">
        <f>IF(C14="","Veuillez saisir l'année de naissance !","")</f>
        <v>Veuillez saisir l'année de naissance !</v>
      </c>
      <c r="D15" s="1"/>
      <c r="E15" s="1"/>
      <c r="F15" s="1"/>
      <c r="G15" s="1"/>
      <c r="H15" s="69" t="str">
        <f>IF(H14="","Veuillez saisir la période fiscale !","")</f>
        <v>Veuillez saisir la période fiscale !</v>
      </c>
      <c r="I15" s="1"/>
    </row>
    <row r="16" spans="1:9" x14ac:dyDescent="0.2">
      <c r="A16" s="1"/>
      <c r="B16" s="1"/>
      <c r="C16" s="1"/>
      <c r="D16" s="2"/>
      <c r="E16" s="2"/>
      <c r="F16" s="2"/>
      <c r="G16" s="2"/>
      <c r="H16" s="2"/>
      <c r="I16" s="2"/>
    </row>
    <row r="17" spans="1:9" ht="15.75" x14ac:dyDescent="0.25">
      <c r="A17" s="111" t="s">
        <v>6</v>
      </c>
      <c r="B17" s="111"/>
      <c r="C17" s="111"/>
      <c r="D17" s="111"/>
      <c r="E17" s="111"/>
      <c r="F17" s="111"/>
      <c r="G17" s="111"/>
      <c r="H17" s="111"/>
      <c r="I17" s="111"/>
    </row>
    <row r="18" spans="1:9" ht="15" x14ac:dyDescent="0.25">
      <c r="A18" s="6"/>
      <c r="B18" s="6"/>
      <c r="C18" s="6"/>
      <c r="D18" s="7"/>
      <c r="E18" s="7"/>
      <c r="F18" s="7"/>
      <c r="G18" s="7"/>
      <c r="H18" s="7"/>
      <c r="I18" s="7"/>
    </row>
    <row r="19" spans="1:9" ht="15" x14ac:dyDescent="0.25">
      <c r="A19" s="6"/>
      <c r="B19" s="6"/>
      <c r="C19" s="6"/>
      <c r="D19" s="7"/>
      <c r="E19" s="112" t="s">
        <v>8</v>
      </c>
      <c r="F19" s="112"/>
      <c r="G19" s="7"/>
      <c r="H19" s="112" t="s">
        <v>9</v>
      </c>
      <c r="I19" s="112"/>
    </row>
    <row r="20" spans="1:9" ht="15" x14ac:dyDescent="0.25">
      <c r="A20" s="6"/>
      <c r="B20" s="6"/>
      <c r="C20" s="6"/>
      <c r="D20" s="7"/>
      <c r="E20" s="21" t="str">
        <f>H20</f>
        <v/>
      </c>
      <c r="F20" s="21" t="str">
        <f>IF(I20=0,"",I20)</f>
        <v/>
      </c>
      <c r="G20" s="22"/>
      <c r="H20" s="72" t="str">
        <f>IF(I20=0,"",I20-1)</f>
        <v/>
      </c>
      <c r="I20" s="73">
        <f>+H14</f>
        <v>0</v>
      </c>
    </row>
    <row r="21" spans="1:9" ht="15" x14ac:dyDescent="0.25">
      <c r="A21" s="6"/>
      <c r="B21" s="6"/>
      <c r="C21" s="6"/>
      <c r="D21" s="7"/>
      <c r="E21" s="7"/>
      <c r="F21" s="7"/>
      <c r="G21" s="7"/>
      <c r="H21" s="7"/>
      <c r="I21" s="7"/>
    </row>
    <row r="22" spans="1:9" ht="15" x14ac:dyDescent="0.25">
      <c r="A22" s="109" t="s">
        <v>19</v>
      </c>
      <c r="B22" s="109"/>
      <c r="C22" s="109"/>
      <c r="D22" s="110"/>
      <c r="E22" s="31"/>
      <c r="F22" s="31"/>
      <c r="G22" s="7"/>
      <c r="H22" s="7"/>
      <c r="I22" s="7"/>
    </row>
    <row r="23" spans="1:9" ht="4.5" customHeight="1" x14ac:dyDescent="0.25">
      <c r="A23" s="6"/>
      <c r="B23" s="6"/>
      <c r="C23" s="6"/>
      <c r="D23" s="7"/>
      <c r="E23" s="7"/>
      <c r="F23" s="7"/>
      <c r="G23" s="7"/>
      <c r="H23" s="7"/>
      <c r="I23" s="7"/>
    </row>
    <row r="24" spans="1:9" ht="15" x14ac:dyDescent="0.25">
      <c r="A24" s="115" t="s">
        <v>10</v>
      </c>
      <c r="B24" s="115"/>
      <c r="C24" s="115"/>
      <c r="D24" s="115"/>
      <c r="E24" s="13" t="str">
        <f t="shared" ref="E24:F34" si="0">IF(H24="","",-H24)</f>
        <v/>
      </c>
      <c r="F24" s="13" t="str">
        <f t="shared" si="0"/>
        <v/>
      </c>
      <c r="G24" s="14"/>
      <c r="H24" s="74"/>
      <c r="I24" s="74"/>
    </row>
    <row r="25" spans="1:9" ht="15" x14ac:dyDescent="0.25">
      <c r="A25" s="115" t="s">
        <v>11</v>
      </c>
      <c r="B25" s="115"/>
      <c r="C25" s="115"/>
      <c r="D25" s="115"/>
      <c r="E25" s="13" t="str">
        <f t="shared" si="0"/>
        <v/>
      </c>
      <c r="F25" s="13" t="str">
        <f t="shared" si="0"/>
        <v/>
      </c>
      <c r="G25" s="14"/>
      <c r="H25" s="74"/>
      <c r="I25" s="74"/>
    </row>
    <row r="26" spans="1:9" ht="15" x14ac:dyDescent="0.25">
      <c r="A26" s="115" t="s">
        <v>12</v>
      </c>
      <c r="B26" s="115"/>
      <c r="C26" s="115"/>
      <c r="D26" s="115"/>
      <c r="E26" s="13" t="str">
        <f t="shared" si="0"/>
        <v/>
      </c>
      <c r="F26" s="13" t="str">
        <f t="shared" si="0"/>
        <v/>
      </c>
      <c r="G26" s="14"/>
      <c r="H26" s="74"/>
      <c r="I26" s="74"/>
    </row>
    <row r="27" spans="1:9" ht="15" x14ac:dyDescent="0.25">
      <c r="A27" s="115" t="s">
        <v>13</v>
      </c>
      <c r="B27" s="115"/>
      <c r="C27" s="115"/>
      <c r="D27" s="115"/>
      <c r="E27" s="13" t="str">
        <f t="shared" si="0"/>
        <v/>
      </c>
      <c r="F27" s="13" t="str">
        <f t="shared" si="0"/>
        <v/>
      </c>
      <c r="G27" s="25"/>
      <c r="H27" s="75"/>
      <c r="I27" s="75"/>
    </row>
    <row r="28" spans="1:9" ht="15" x14ac:dyDescent="0.25">
      <c r="A28" s="115" t="s">
        <v>14</v>
      </c>
      <c r="B28" s="115"/>
      <c r="C28" s="115"/>
      <c r="D28" s="115"/>
      <c r="E28" s="13" t="str">
        <f t="shared" si="0"/>
        <v/>
      </c>
      <c r="F28" s="13" t="str">
        <f t="shared" si="0"/>
        <v/>
      </c>
      <c r="G28" s="25"/>
      <c r="H28" s="75"/>
      <c r="I28" s="75"/>
    </row>
    <row r="29" spans="1:9" ht="15" x14ac:dyDescent="0.25">
      <c r="A29" s="115" t="s">
        <v>15</v>
      </c>
      <c r="B29" s="115"/>
      <c r="C29" s="115"/>
      <c r="D29" s="115"/>
      <c r="E29" s="13" t="str">
        <f t="shared" si="0"/>
        <v/>
      </c>
      <c r="F29" s="13" t="str">
        <f t="shared" si="0"/>
        <v/>
      </c>
      <c r="G29" s="25"/>
      <c r="H29" s="75"/>
      <c r="I29" s="75"/>
    </row>
    <row r="30" spans="1:9" ht="15" x14ac:dyDescent="0.25">
      <c r="A30" s="17" t="s">
        <v>26</v>
      </c>
      <c r="B30" s="17"/>
      <c r="C30" s="17"/>
      <c r="D30" s="17"/>
      <c r="E30" s="13" t="str">
        <f t="shared" si="0"/>
        <v/>
      </c>
      <c r="F30" s="13" t="str">
        <f t="shared" si="0"/>
        <v/>
      </c>
      <c r="G30" s="25"/>
      <c r="H30" s="75"/>
      <c r="I30" s="75"/>
    </row>
    <row r="31" spans="1:9" ht="15" x14ac:dyDescent="0.25">
      <c r="A31" s="17" t="s">
        <v>27</v>
      </c>
      <c r="B31" s="17"/>
      <c r="C31" s="17"/>
      <c r="D31" s="17"/>
      <c r="E31" s="13" t="str">
        <f t="shared" si="0"/>
        <v/>
      </c>
      <c r="F31" s="13" t="str">
        <f t="shared" si="0"/>
        <v/>
      </c>
      <c r="G31" s="25"/>
      <c r="H31" s="75"/>
      <c r="I31" s="75"/>
    </row>
    <row r="32" spans="1:9" ht="15" x14ac:dyDescent="0.25">
      <c r="A32" s="115" t="s">
        <v>16</v>
      </c>
      <c r="B32" s="115"/>
      <c r="C32" s="115"/>
      <c r="D32" s="115"/>
      <c r="E32" s="13" t="str">
        <f t="shared" si="0"/>
        <v/>
      </c>
      <c r="F32" s="13" t="str">
        <f t="shared" si="0"/>
        <v/>
      </c>
      <c r="G32" s="25"/>
      <c r="H32" s="75"/>
      <c r="I32" s="75"/>
    </row>
    <row r="33" spans="1:9" ht="15" x14ac:dyDescent="0.25">
      <c r="A33" s="17" t="s">
        <v>25</v>
      </c>
      <c r="B33" s="17"/>
      <c r="C33" s="17"/>
      <c r="D33" s="17"/>
      <c r="E33" s="13" t="str">
        <f t="shared" si="0"/>
        <v/>
      </c>
      <c r="F33" s="13" t="str">
        <f t="shared" si="0"/>
        <v/>
      </c>
      <c r="G33" s="25"/>
      <c r="H33" s="75"/>
      <c r="I33" s="75"/>
    </row>
    <row r="34" spans="1:9" ht="15" x14ac:dyDescent="0.25">
      <c r="A34" s="115" t="s">
        <v>24</v>
      </c>
      <c r="B34" s="115"/>
      <c r="C34" s="115"/>
      <c r="D34" s="115"/>
      <c r="E34" s="13" t="str">
        <f t="shared" si="0"/>
        <v/>
      </c>
      <c r="F34" s="13" t="str">
        <f t="shared" si="0"/>
        <v/>
      </c>
      <c r="G34" s="25"/>
      <c r="H34" s="75"/>
      <c r="I34" s="75"/>
    </row>
    <row r="35" spans="1:9" ht="15" x14ac:dyDescent="0.25">
      <c r="A35" s="42" t="s">
        <v>69</v>
      </c>
      <c r="B35" s="116"/>
      <c r="C35" s="117"/>
      <c r="D35" s="118"/>
      <c r="E35" s="13" t="str">
        <f t="shared" ref="E35" si="1">IF(H35="","",-H35)</f>
        <v/>
      </c>
      <c r="F35" s="13" t="str">
        <f t="shared" ref="F35" si="2">IF(I35="","",-I35)</f>
        <v/>
      </c>
      <c r="G35" s="25"/>
      <c r="H35" s="32"/>
      <c r="I35" s="32"/>
    </row>
    <row r="36" spans="1:9" ht="4.5" customHeight="1" x14ac:dyDescent="0.25">
      <c r="A36" s="6"/>
      <c r="B36" s="6"/>
      <c r="C36" s="6"/>
      <c r="D36" s="6"/>
      <c r="E36" s="25"/>
      <c r="F36" s="25"/>
      <c r="G36" s="25"/>
      <c r="H36" s="25"/>
      <c r="I36" s="25"/>
    </row>
    <row r="37" spans="1:9" ht="15" x14ac:dyDescent="0.25">
      <c r="A37" s="109" t="s">
        <v>17</v>
      </c>
      <c r="B37" s="109"/>
      <c r="C37" s="109"/>
      <c r="D37" s="109"/>
      <c r="E37" s="26">
        <f>SUM(E24:E35)</f>
        <v>0</v>
      </c>
      <c r="F37" s="26">
        <f>SUM(F24:F35)</f>
        <v>0</v>
      </c>
      <c r="G37" s="27"/>
      <c r="H37" s="33">
        <f>SUM(H24:H35)</f>
        <v>0</v>
      </c>
      <c r="I37" s="33">
        <f>SUM(I24:I35)</f>
        <v>0</v>
      </c>
    </row>
    <row r="38" spans="1:9" ht="4.5" customHeight="1" x14ac:dyDescent="0.25">
      <c r="A38" s="6"/>
      <c r="B38" s="6"/>
      <c r="C38" s="6"/>
      <c r="D38" s="6"/>
      <c r="E38" s="25"/>
      <c r="F38" s="25"/>
      <c r="G38" s="25"/>
      <c r="H38" s="25"/>
      <c r="I38" s="25"/>
    </row>
    <row r="39" spans="1:9" s="88" customFormat="1" ht="15" x14ac:dyDescent="0.25">
      <c r="A39" s="85" t="s">
        <v>88</v>
      </c>
      <c r="B39" s="85"/>
      <c r="C39" s="39"/>
      <c r="D39" s="39"/>
      <c r="E39" s="86"/>
      <c r="F39" s="86"/>
      <c r="G39" s="87"/>
      <c r="H39" s="23"/>
      <c r="I39" s="23"/>
    </row>
    <row r="40" spans="1:9" s="88" customFormat="1" ht="4.5" customHeight="1" x14ac:dyDescent="0.25">
      <c r="E40" s="87"/>
      <c r="F40" s="87"/>
      <c r="G40" s="87"/>
      <c r="H40" s="87"/>
      <c r="I40" s="87"/>
    </row>
    <row r="41" spans="1:9" ht="15" x14ac:dyDescent="0.25">
      <c r="A41" s="109" t="s">
        <v>18</v>
      </c>
      <c r="B41" s="109"/>
      <c r="C41" s="109"/>
      <c r="D41" s="109"/>
      <c r="E41" s="16">
        <f>SUM(E22+E37+E39)</f>
        <v>0</v>
      </c>
      <c r="F41" s="16">
        <f>SUM(F22+F37+F39)</f>
        <v>0</v>
      </c>
      <c r="G41" s="27"/>
      <c r="H41" s="123" t="str">
        <f>IF(OR(H43&gt;0,I43&gt;0,H51&gt;0,I51&gt;0,H53&gt;0,I53&gt;0),"Attention ! Erreur de saisie","")</f>
        <v/>
      </c>
      <c r="I41" s="123"/>
    </row>
    <row r="42" spans="1:9" ht="4.5" customHeight="1" x14ac:dyDescent="0.25">
      <c r="A42" s="6"/>
      <c r="B42" s="6"/>
      <c r="C42" s="6"/>
      <c r="D42" s="6"/>
      <c r="E42" s="25"/>
      <c r="F42" s="25"/>
      <c r="G42" s="25"/>
      <c r="H42" s="25"/>
      <c r="I42" s="25"/>
    </row>
    <row r="43" spans="1:9" ht="15" x14ac:dyDescent="0.25">
      <c r="A43" s="115" t="s">
        <v>70</v>
      </c>
      <c r="B43" s="115"/>
      <c r="C43" s="115"/>
      <c r="D43" s="115"/>
      <c r="E43" s="115"/>
      <c r="F43" s="115"/>
      <c r="G43" s="120"/>
      <c r="H43" s="32"/>
      <c r="I43" s="32"/>
    </row>
    <row r="44" spans="1:9" ht="4.5" customHeight="1" x14ac:dyDescent="0.25">
      <c r="A44" s="6"/>
      <c r="B44" s="6"/>
      <c r="C44" s="6"/>
      <c r="D44" s="6"/>
      <c r="E44" s="6"/>
      <c r="F44" s="6"/>
      <c r="G44" s="6"/>
      <c r="H44" s="6"/>
      <c r="I44" s="6"/>
    </row>
    <row r="45" spans="1:9" ht="15" x14ac:dyDescent="0.25">
      <c r="A45" s="109" t="s">
        <v>20</v>
      </c>
      <c r="B45" s="109"/>
      <c r="C45" s="109"/>
      <c r="D45" s="109"/>
      <c r="E45" s="109"/>
      <c r="F45" s="109"/>
      <c r="G45" s="110"/>
      <c r="H45" s="16">
        <f>H37+H43</f>
        <v>0</v>
      </c>
      <c r="I45" s="16">
        <f>I37+I43</f>
        <v>0</v>
      </c>
    </row>
    <row r="46" spans="1:9" ht="4.5" customHeight="1" x14ac:dyDescent="0.25">
      <c r="A46" s="6"/>
      <c r="B46" s="6"/>
      <c r="C46" s="6"/>
      <c r="D46" s="6"/>
      <c r="E46" s="6"/>
      <c r="F46" s="6"/>
      <c r="G46" s="6"/>
      <c r="H46" s="6"/>
      <c r="I46" s="6"/>
    </row>
    <row r="47" spans="1:9" ht="15" x14ac:dyDescent="0.25">
      <c r="A47" s="121" t="s">
        <v>63</v>
      </c>
      <c r="B47" s="121"/>
      <c r="C47" s="121"/>
      <c r="D47" s="121"/>
      <c r="E47" s="121"/>
      <c r="F47" s="121"/>
      <c r="G47" s="121"/>
      <c r="H47"/>
      <c r="I47" s="13">
        <f>IF(F41&lt;0,F41,)</f>
        <v>0</v>
      </c>
    </row>
    <row r="48" spans="1:9" ht="4.5" customHeight="1" x14ac:dyDescent="0.25">
      <c r="A48" s="6"/>
      <c r="B48" s="6"/>
      <c r="C48" s="6"/>
      <c r="D48" s="6"/>
      <c r="E48" s="6"/>
      <c r="F48" s="6"/>
      <c r="G48" s="6"/>
      <c r="H48" s="6"/>
      <c r="I48" s="6"/>
    </row>
    <row r="49" spans="1:9" ht="15" x14ac:dyDescent="0.25">
      <c r="A49" s="115" t="s">
        <v>21</v>
      </c>
      <c r="B49" s="115"/>
      <c r="C49" s="115"/>
      <c r="D49" s="115"/>
      <c r="E49" s="115"/>
      <c r="F49" s="115"/>
      <c r="G49" s="120"/>
      <c r="H49" s="28">
        <f>H45*-0.1</f>
        <v>0</v>
      </c>
      <c r="I49" s="28">
        <f>(I45+I47)*-0.1</f>
        <v>0</v>
      </c>
    </row>
    <row r="50" spans="1:9" ht="4.5" customHeight="1" x14ac:dyDescent="0.25">
      <c r="A50" s="6"/>
      <c r="B50" s="6"/>
      <c r="C50" s="6"/>
      <c r="D50" s="6"/>
      <c r="E50" s="6"/>
      <c r="F50" s="6"/>
      <c r="G50" s="6"/>
      <c r="H50" s="6"/>
      <c r="I50" s="6"/>
    </row>
    <row r="51" spans="1:9" ht="15" x14ac:dyDescent="0.25">
      <c r="A51" s="121" t="s">
        <v>64</v>
      </c>
      <c r="B51" s="121"/>
      <c r="C51" s="121"/>
      <c r="D51" s="121"/>
      <c r="E51" s="121"/>
      <c r="F51" s="121"/>
      <c r="G51" s="122"/>
      <c r="H51" s="32"/>
      <c r="I51" s="32"/>
    </row>
    <row r="52" spans="1:9" ht="4.5" customHeight="1" x14ac:dyDescent="0.25">
      <c r="A52" s="6"/>
      <c r="B52" s="6"/>
      <c r="C52" s="6"/>
      <c r="D52" s="6"/>
      <c r="E52" s="6"/>
      <c r="F52" s="6"/>
      <c r="G52" s="6"/>
      <c r="H52" s="6"/>
      <c r="I52" s="6"/>
    </row>
    <row r="53" spans="1:9" ht="15" x14ac:dyDescent="0.25">
      <c r="A53" s="115" t="s">
        <v>22</v>
      </c>
      <c r="B53" s="115"/>
      <c r="C53" s="115"/>
      <c r="D53" s="115"/>
      <c r="E53" s="115"/>
      <c r="F53" s="115"/>
      <c r="G53" s="120"/>
      <c r="H53" s="32"/>
      <c r="I53" s="32"/>
    </row>
    <row r="54" spans="1:9" ht="4.5" customHeight="1" x14ac:dyDescent="0.25">
      <c r="A54" s="6"/>
      <c r="B54" s="6"/>
      <c r="C54" s="6"/>
      <c r="D54" s="6"/>
      <c r="E54" s="6"/>
      <c r="F54" s="6"/>
      <c r="G54" s="6"/>
      <c r="H54" s="6"/>
      <c r="I54" s="6"/>
    </row>
    <row r="55" spans="1:9" ht="15" x14ac:dyDescent="0.25">
      <c r="A55" s="115" t="s">
        <v>29</v>
      </c>
      <c r="B55" s="115"/>
      <c r="C55" s="115"/>
      <c r="D55" s="115"/>
      <c r="E55" s="115"/>
      <c r="F55" s="115"/>
      <c r="G55" s="120"/>
      <c r="H55" s="29">
        <f>H45+H49+H51+H53</f>
        <v>0</v>
      </c>
      <c r="I55" s="29">
        <f>I45+I49+I51+I53+I47</f>
        <v>0</v>
      </c>
    </row>
    <row r="56" spans="1:9" ht="4.5" customHeight="1" x14ac:dyDescent="0.25">
      <c r="A56" s="6"/>
      <c r="B56" s="6"/>
      <c r="C56" s="6"/>
      <c r="D56" s="6"/>
      <c r="E56" s="6"/>
      <c r="F56" s="6"/>
      <c r="G56" s="6"/>
      <c r="H56" s="6"/>
      <c r="I56" s="6"/>
    </row>
    <row r="57" spans="1:9" ht="15" x14ac:dyDescent="0.25">
      <c r="A57" s="115" t="s">
        <v>28</v>
      </c>
      <c r="B57" s="115"/>
      <c r="C57" s="115"/>
      <c r="D57" s="115"/>
      <c r="E57" s="115"/>
      <c r="F57" s="115"/>
      <c r="G57" s="115"/>
      <c r="I57" s="28">
        <f>H55</f>
        <v>0</v>
      </c>
    </row>
    <row r="58" spans="1:9" ht="4.5" customHeight="1" x14ac:dyDescent="0.25">
      <c r="A58" s="6"/>
      <c r="B58" s="6"/>
      <c r="C58" s="6"/>
      <c r="D58" s="6"/>
      <c r="E58" s="6"/>
      <c r="F58" s="6"/>
      <c r="G58" s="6"/>
      <c r="H58" s="6"/>
      <c r="I58" s="6"/>
    </row>
    <row r="59" spans="1:9" ht="15" x14ac:dyDescent="0.25">
      <c r="A59" s="109" t="s">
        <v>23</v>
      </c>
      <c r="B59" s="109"/>
      <c r="C59" s="109"/>
      <c r="D59" s="109"/>
      <c r="E59" s="109"/>
      <c r="F59" s="109"/>
      <c r="G59" s="109"/>
      <c r="H59" s="110"/>
      <c r="I59" s="30">
        <f>IF((I55+I57)&lt;0,0,I55+I57)</f>
        <v>0</v>
      </c>
    </row>
    <row r="60" spans="1:9" ht="15" x14ac:dyDescent="0.25">
      <c r="A60" s="6"/>
      <c r="B60" s="6"/>
      <c r="C60" s="6"/>
      <c r="D60" s="6"/>
      <c r="E60" s="6"/>
      <c r="F60" s="6"/>
      <c r="G60" s="6"/>
      <c r="H60" s="6"/>
      <c r="I60" s="6"/>
    </row>
    <row r="61" spans="1:9" ht="15" x14ac:dyDescent="0.25">
      <c r="A61" s="6"/>
      <c r="B61" s="6"/>
      <c r="C61" s="6"/>
      <c r="D61" s="6"/>
      <c r="E61" s="6"/>
      <c r="F61" s="6"/>
      <c r="G61" s="6"/>
      <c r="H61" s="6"/>
      <c r="I61" s="6"/>
    </row>
    <row r="62" spans="1:9" ht="40.5" customHeight="1" x14ac:dyDescent="0.2">
      <c r="A62" s="119" t="s">
        <v>89</v>
      </c>
      <c r="B62" s="119"/>
      <c r="C62" s="119"/>
      <c r="D62" s="119"/>
      <c r="E62" s="119"/>
      <c r="F62" s="119"/>
      <c r="G62" s="119"/>
      <c r="H62" s="119"/>
      <c r="I62" s="119"/>
    </row>
  </sheetData>
  <sheetProtection algorithmName="SHA-512" hashValue="LSjI7gSVvHBK9ULZ/23pS82aUQdAMFljAVWqb0jZAiEtws94lpqYmLqdo9jBv0JhYoe2dW6p28E/xitxP9drSw==" saltValue="iy7QcHlClc6PkksWuvAx3g==" spinCount="100000" sheet="1" objects="1" scenarios="1"/>
  <mergeCells count="31">
    <mergeCell ref="A62:I62"/>
    <mergeCell ref="A55:G55"/>
    <mergeCell ref="A34:D34"/>
    <mergeCell ref="A57:G57"/>
    <mergeCell ref="A59:H59"/>
    <mergeCell ref="A43:G43"/>
    <mergeCell ref="A45:G45"/>
    <mergeCell ref="A49:G49"/>
    <mergeCell ref="A51:G51"/>
    <mergeCell ref="A53:G53"/>
    <mergeCell ref="H41:I41"/>
    <mergeCell ref="A47:G47"/>
    <mergeCell ref="A29:D29"/>
    <mergeCell ref="A32:D32"/>
    <mergeCell ref="A37:D37"/>
    <mergeCell ref="A41:D41"/>
    <mergeCell ref="A24:D24"/>
    <mergeCell ref="A25:D25"/>
    <mergeCell ref="A26:D26"/>
    <mergeCell ref="A27:D27"/>
    <mergeCell ref="A28:D28"/>
    <mergeCell ref="B35:D35"/>
    <mergeCell ref="A3:C5"/>
    <mergeCell ref="D3:I5"/>
    <mergeCell ref="H10:I10"/>
    <mergeCell ref="A22:D22"/>
    <mergeCell ref="A17:I17"/>
    <mergeCell ref="E19:F19"/>
    <mergeCell ref="H19:I19"/>
    <mergeCell ref="H12:I12"/>
    <mergeCell ref="A8:I8"/>
  </mergeCells>
  <dataValidations count="1">
    <dataValidation type="list" allowBlank="1" showInputMessage="1" showErrorMessage="1" sqref="C40:D40" xr:uid="{00000000-0002-0000-0000-000000000000}">
      <formula1>"Oui,Non"</formula1>
    </dataValidation>
  </dataValidations>
  <printOptions horizontalCentered="1"/>
  <pageMargins left="0.23622047244094491" right="0.27559055118110237" top="0.31496062992125984" bottom="0.39370078740157483" header="0.31496062992125984" footer="0.15748031496062992"/>
  <pageSetup paperSize="9" orientation="portrait" r:id="rId1"/>
  <headerFooter>
    <oddFooter>&amp;L&amp;6Date de révision : 14.12.25&amp;C&amp;6SCCOF732V14&amp;R&amp;6Date de création : 5.1.2012</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Paramètres!$A$3:$A$4</xm:f>
          </x14:formula1>
          <xm:sqref>C10</xm:sqref>
        </x14:dataValidation>
        <x14:dataValidation type="list" allowBlank="1" showInputMessage="1" showErrorMessage="1" xr:uid="{00000000-0002-0000-0000-000003000000}">
          <x14:formula1>
            <xm:f>Paramètres!$C$3:$C$15</xm:f>
          </x14:formula1>
          <xm:sqref>H14</xm:sqref>
        </x14:dataValidation>
        <x14:dataValidation type="list" allowBlank="1" showInputMessage="1" showErrorMessage="1" xr:uid="{00000000-0002-0000-0000-000002000000}">
          <x14:formula1>
            <xm:f>Paramètres!$B$3:$B$62</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T218"/>
  <sheetViews>
    <sheetView showGridLines="0" zoomScaleNormal="100" workbookViewId="0">
      <selection activeCell="A41" sqref="A41:H41"/>
    </sheetView>
  </sheetViews>
  <sheetFormatPr baseColWidth="10" defaultColWidth="11.42578125" defaultRowHeight="12.75" x14ac:dyDescent="0.2"/>
  <cols>
    <col min="1" max="6" width="12.42578125" style="23" customWidth="1"/>
    <col min="7" max="7" width="0.85546875" style="23" customWidth="1"/>
    <col min="8" max="9" width="12.42578125" style="23" customWidth="1"/>
    <col min="10" max="16384" width="11.42578125" style="23"/>
  </cols>
  <sheetData>
    <row r="1" spans="1:20" ht="15" x14ac:dyDescent="0.25">
      <c r="I1" s="50" t="str">
        <f>'Bénéfice de liquidation'!I1</f>
        <v/>
      </c>
    </row>
    <row r="2" spans="1:20" ht="6.75" customHeight="1" x14ac:dyDescent="0.2"/>
    <row r="3" spans="1:20" s="1" customFormat="1" ht="15.2" customHeight="1" x14ac:dyDescent="0.2">
      <c r="A3" s="89"/>
      <c r="B3" s="90"/>
      <c r="C3" s="91"/>
      <c r="D3" s="98" t="s">
        <v>0</v>
      </c>
      <c r="E3" s="99"/>
      <c r="F3" s="99"/>
      <c r="G3" s="99"/>
      <c r="H3" s="99"/>
      <c r="I3" s="100"/>
      <c r="J3" s="23"/>
      <c r="K3" s="23"/>
      <c r="L3" s="23"/>
      <c r="M3" s="23"/>
      <c r="N3" s="23"/>
      <c r="O3" s="23"/>
      <c r="P3" s="23"/>
      <c r="Q3" s="23"/>
    </row>
    <row r="4" spans="1:20" s="1" customFormat="1" ht="15.2" customHeight="1" x14ac:dyDescent="0.2">
      <c r="A4" s="92"/>
      <c r="B4" s="93"/>
      <c r="C4" s="94"/>
      <c r="D4" s="101"/>
      <c r="E4" s="102"/>
      <c r="F4" s="102"/>
      <c r="G4" s="102"/>
      <c r="H4" s="102"/>
      <c r="I4" s="103"/>
      <c r="J4" s="23"/>
      <c r="K4" s="23"/>
      <c r="L4" s="23"/>
      <c r="M4" s="23"/>
      <c r="N4" s="23"/>
      <c r="O4" s="23"/>
      <c r="P4" s="23"/>
      <c r="Q4" s="23"/>
    </row>
    <row r="5" spans="1:20" s="1" customFormat="1" ht="15.2" customHeight="1" x14ac:dyDescent="0.2">
      <c r="A5" s="95"/>
      <c r="B5" s="96"/>
      <c r="C5" s="97"/>
      <c r="D5" s="104"/>
      <c r="E5" s="105"/>
      <c r="F5" s="105"/>
      <c r="G5" s="105"/>
      <c r="H5" s="105"/>
      <c r="I5" s="106"/>
      <c r="J5" s="23"/>
      <c r="K5" s="23"/>
      <c r="L5" s="23"/>
      <c r="M5" s="23"/>
      <c r="N5" s="23"/>
      <c r="O5" s="23"/>
      <c r="P5" s="23"/>
      <c r="Q5" s="23"/>
    </row>
    <row r="6" spans="1:20" s="1" customFormat="1" x14ac:dyDescent="0.2">
      <c r="J6" s="23"/>
      <c r="K6" s="23"/>
      <c r="L6" s="23"/>
      <c r="M6" s="23"/>
      <c r="N6" s="23"/>
      <c r="O6" s="23"/>
      <c r="P6" s="23"/>
      <c r="Q6" s="23"/>
    </row>
    <row r="7" spans="1:20" s="1" customFormat="1" x14ac:dyDescent="0.2">
      <c r="J7" s="23"/>
      <c r="K7" s="23"/>
      <c r="L7" s="23"/>
      <c r="M7" s="23"/>
      <c r="N7" s="23"/>
      <c r="O7" s="23"/>
      <c r="P7" s="23"/>
      <c r="Q7" s="23"/>
    </row>
    <row r="8" spans="1:20" s="1" customFormat="1" ht="15.75" x14ac:dyDescent="0.25">
      <c r="A8" s="111" t="s">
        <v>74</v>
      </c>
      <c r="B8" s="111"/>
      <c r="C8" s="111"/>
      <c r="D8" s="111"/>
      <c r="E8" s="111"/>
      <c r="F8" s="111"/>
      <c r="G8" s="111"/>
      <c r="H8" s="111"/>
      <c r="I8" s="111"/>
      <c r="J8" s="79"/>
      <c r="K8" s="23"/>
      <c r="L8" s="23"/>
      <c r="M8" s="23"/>
      <c r="N8" s="23"/>
      <c r="O8" s="23"/>
      <c r="P8" s="23"/>
      <c r="Q8" s="23"/>
      <c r="R8" s="23"/>
      <c r="S8" s="23"/>
      <c r="T8" s="23"/>
    </row>
    <row r="9" spans="1:20" s="1" customFormat="1" x14ac:dyDescent="0.2">
      <c r="J9" s="23"/>
      <c r="K9" s="23"/>
      <c r="L9" s="23"/>
      <c r="M9" s="23"/>
      <c r="N9" s="23"/>
      <c r="O9" s="23"/>
      <c r="P9" s="23"/>
      <c r="Q9" s="23"/>
      <c r="R9" s="23"/>
      <c r="S9" s="23"/>
      <c r="T9" s="23"/>
    </row>
    <row r="10" spans="1:20" s="1" customFormat="1" ht="15" x14ac:dyDescent="0.25">
      <c r="A10" s="3" t="s">
        <v>58</v>
      </c>
      <c r="B10" s="3"/>
      <c r="C10" s="67">
        <f>'Bénéfice de liquidation'!C10</f>
        <v>0</v>
      </c>
      <c r="D10" s="23"/>
      <c r="E10" s="3" t="s">
        <v>5</v>
      </c>
      <c r="F10" s="3"/>
      <c r="G10" s="3"/>
      <c r="H10" s="129">
        <f>+'Bénéfice de liquidation'!H10</f>
        <v>0</v>
      </c>
      <c r="I10" s="130"/>
      <c r="J10" s="79"/>
      <c r="K10" s="23"/>
      <c r="L10" s="23"/>
      <c r="M10" s="23"/>
      <c r="N10" s="23"/>
      <c r="O10" s="23"/>
      <c r="P10" s="23"/>
      <c r="Q10" s="23"/>
      <c r="R10" s="23"/>
      <c r="S10" s="23"/>
      <c r="T10" s="23"/>
    </row>
    <row r="11" spans="1:20" s="1" customFormat="1" ht="5.25" customHeight="1" x14ac:dyDescent="0.25">
      <c r="A11" s="4"/>
      <c r="B11" s="4"/>
      <c r="C11" s="5"/>
      <c r="D11" s="23"/>
      <c r="E11" s="7"/>
      <c r="F11" s="6"/>
      <c r="G11" s="6"/>
      <c r="H11" s="5"/>
      <c r="I11" s="8"/>
      <c r="J11" s="23"/>
      <c r="K11" s="23"/>
      <c r="L11" s="23"/>
      <c r="M11" s="23"/>
      <c r="N11" s="23"/>
      <c r="O11" s="23"/>
      <c r="P11" s="23"/>
      <c r="Q11" s="23"/>
    </row>
    <row r="12" spans="1:20" s="1" customFormat="1" ht="15" x14ac:dyDescent="0.25">
      <c r="A12" s="3" t="s">
        <v>3</v>
      </c>
      <c r="B12" s="3"/>
      <c r="C12" s="67">
        <f>'Bénéfice de liquidation'!C12</f>
        <v>0</v>
      </c>
      <c r="D12" s="23"/>
      <c r="E12" s="3" t="s">
        <v>1</v>
      </c>
      <c r="F12" s="3"/>
      <c r="G12" s="3"/>
      <c r="H12" s="129">
        <f>+'Bénéfice de liquidation'!H12</f>
        <v>0</v>
      </c>
      <c r="I12" s="130"/>
      <c r="J12" s="23"/>
      <c r="K12" s="23"/>
      <c r="L12" s="23"/>
      <c r="M12" s="23"/>
      <c r="N12" s="23"/>
      <c r="O12" s="23"/>
      <c r="P12" s="23"/>
      <c r="Q12" s="23"/>
    </row>
    <row r="13" spans="1:20" s="1" customFormat="1" ht="5.25" customHeight="1" x14ac:dyDescent="0.25">
      <c r="A13" s="6"/>
      <c r="B13" s="6"/>
      <c r="C13" s="5"/>
      <c r="D13" s="23"/>
      <c r="E13" s="7"/>
      <c r="F13" s="6"/>
      <c r="G13" s="6"/>
      <c r="H13" s="8"/>
      <c r="I13" s="8"/>
      <c r="J13" s="23"/>
      <c r="K13" s="23"/>
      <c r="L13" s="23"/>
      <c r="M13" s="23"/>
      <c r="N13" s="23"/>
      <c r="O13" s="23"/>
      <c r="P13" s="23"/>
      <c r="Q13" s="23"/>
    </row>
    <row r="14" spans="1:20" s="1" customFormat="1" ht="15" x14ac:dyDescent="0.25">
      <c r="A14" s="3" t="s">
        <v>4</v>
      </c>
      <c r="B14" s="3"/>
      <c r="C14" s="67">
        <f>'Bénéfice de liquidation'!C14</f>
        <v>0</v>
      </c>
      <c r="D14" s="23"/>
      <c r="E14" s="9" t="s">
        <v>2</v>
      </c>
      <c r="F14" s="9"/>
      <c r="G14" s="9"/>
      <c r="H14" s="67">
        <f>'Bénéfice de liquidation'!H14</f>
        <v>0</v>
      </c>
      <c r="I14" s="23"/>
      <c r="J14" s="79"/>
      <c r="K14" s="23"/>
      <c r="L14" s="23"/>
      <c r="M14" s="23"/>
      <c r="N14" s="23"/>
      <c r="O14" s="23"/>
      <c r="P14" s="23"/>
      <c r="Q14" s="23"/>
    </row>
    <row r="15" spans="1:20" s="1" customFormat="1" x14ac:dyDescent="0.2">
      <c r="J15" s="23"/>
      <c r="K15" s="23"/>
      <c r="L15" s="23"/>
      <c r="M15" s="23"/>
      <c r="N15" s="23"/>
      <c r="O15" s="23"/>
      <c r="P15" s="23"/>
      <c r="Q15" s="23"/>
    </row>
    <row r="16" spans="1:20" s="1" customFormat="1" x14ac:dyDescent="0.2">
      <c r="D16" s="2"/>
      <c r="E16" s="2"/>
      <c r="F16" s="2"/>
      <c r="G16" s="2"/>
      <c r="H16" s="2"/>
      <c r="I16" s="2"/>
      <c r="J16" s="23"/>
      <c r="K16" s="23"/>
      <c r="L16" s="23"/>
      <c r="M16" s="23"/>
      <c r="N16" s="23"/>
      <c r="O16" s="23"/>
      <c r="P16" s="23"/>
      <c r="Q16" s="23"/>
    </row>
    <row r="17" spans="1:17" s="1" customFormat="1" ht="15.75" x14ac:dyDescent="0.25">
      <c r="A17" s="111" t="s">
        <v>30</v>
      </c>
      <c r="B17" s="111"/>
      <c r="C17" s="111"/>
      <c r="D17" s="111"/>
      <c r="E17" s="111"/>
      <c r="F17" s="111"/>
      <c r="G17" s="111"/>
      <c r="H17" s="111"/>
      <c r="I17" s="111"/>
      <c r="J17" s="23"/>
      <c r="K17" s="23"/>
      <c r="L17" s="23"/>
      <c r="M17" s="23"/>
      <c r="N17" s="23"/>
      <c r="O17" s="23"/>
      <c r="P17" s="23"/>
      <c r="Q17" s="23"/>
    </row>
    <row r="18" spans="1:17" s="6" customFormat="1" ht="15" x14ac:dyDescent="0.25">
      <c r="D18" s="7"/>
      <c r="E18" s="7"/>
      <c r="F18" s="7"/>
      <c r="G18" s="7"/>
      <c r="H18" s="7"/>
      <c r="I18" s="7"/>
      <c r="J18" s="24"/>
      <c r="K18" s="24"/>
      <c r="L18" s="24"/>
      <c r="M18" s="24"/>
      <c r="N18" s="24"/>
      <c r="O18" s="24"/>
      <c r="P18" s="24"/>
      <c r="Q18" s="24"/>
    </row>
    <row r="19" spans="1:17" s="6" customFormat="1" ht="15" x14ac:dyDescent="0.25">
      <c r="D19" s="7"/>
      <c r="E19" s="23"/>
      <c r="F19" s="23"/>
      <c r="G19" s="11"/>
      <c r="H19" s="19" t="s">
        <v>31</v>
      </c>
      <c r="I19" s="18" t="s">
        <v>32</v>
      </c>
      <c r="J19" s="24"/>
      <c r="K19" s="24"/>
      <c r="L19" s="24"/>
      <c r="M19" s="24"/>
      <c r="N19" s="24"/>
      <c r="O19" s="24"/>
      <c r="P19" s="24"/>
      <c r="Q19" s="24"/>
    </row>
    <row r="20" spans="1:17" s="6" customFormat="1" ht="15" x14ac:dyDescent="0.25">
      <c r="A20" s="15" t="s">
        <v>33</v>
      </c>
      <c r="D20" s="7"/>
      <c r="E20" s="7"/>
      <c r="F20" s="7"/>
      <c r="G20" s="7"/>
      <c r="H20" s="7"/>
      <c r="I20" s="7"/>
      <c r="J20" s="24"/>
      <c r="K20" s="24"/>
      <c r="L20" s="24"/>
      <c r="M20" s="24"/>
      <c r="N20" s="24"/>
      <c r="O20" s="24"/>
      <c r="P20" s="24"/>
      <c r="Q20" s="24"/>
    </row>
    <row r="21" spans="1:17" s="6" customFormat="1" ht="15" x14ac:dyDescent="0.25">
      <c r="A21" s="115" t="s">
        <v>34</v>
      </c>
      <c r="B21" s="115"/>
      <c r="C21" s="115"/>
      <c r="D21" s="115"/>
      <c r="E21" s="115"/>
      <c r="F21" s="115"/>
      <c r="G21" s="120"/>
      <c r="H21" s="73" t="str">
        <f t="shared" ref="H21:H23" si="0">IF($H$25="","",+H22-1)</f>
        <v/>
      </c>
      <c r="I21" s="75"/>
    </row>
    <row r="22" spans="1:17" s="6" customFormat="1" ht="15" x14ac:dyDescent="0.25">
      <c r="A22" s="115" t="s">
        <v>35</v>
      </c>
      <c r="B22" s="115"/>
      <c r="C22" s="115"/>
      <c r="D22" s="115"/>
      <c r="E22" s="115"/>
      <c r="F22" s="115"/>
      <c r="G22" s="120"/>
      <c r="H22" s="73" t="str">
        <f t="shared" si="0"/>
        <v/>
      </c>
      <c r="I22" s="75"/>
    </row>
    <row r="23" spans="1:17" s="6" customFormat="1" ht="15" x14ac:dyDescent="0.25">
      <c r="A23" s="115" t="s">
        <v>36</v>
      </c>
      <c r="B23" s="115"/>
      <c r="C23" s="115"/>
      <c r="D23" s="115"/>
      <c r="E23" s="115"/>
      <c r="F23" s="115"/>
      <c r="G23" s="120"/>
      <c r="H23" s="73" t="str">
        <f t="shared" si="0"/>
        <v/>
      </c>
      <c r="I23" s="75"/>
    </row>
    <row r="24" spans="1:17" s="6" customFormat="1" ht="15" x14ac:dyDescent="0.25">
      <c r="A24" s="115" t="s">
        <v>37</v>
      </c>
      <c r="B24" s="115"/>
      <c r="C24" s="115"/>
      <c r="D24" s="115"/>
      <c r="E24" s="115"/>
      <c r="F24" s="115"/>
      <c r="G24" s="120"/>
      <c r="H24" s="73" t="str">
        <f>IF($H$25="","",+H25-1)</f>
        <v/>
      </c>
      <c r="I24" s="75"/>
    </row>
    <row r="25" spans="1:17" s="6" customFormat="1" ht="15" x14ac:dyDescent="0.25">
      <c r="A25" s="115" t="s">
        <v>38</v>
      </c>
      <c r="B25" s="115"/>
      <c r="C25" s="115"/>
      <c r="D25" s="115"/>
      <c r="E25" s="115"/>
      <c r="F25" s="115"/>
      <c r="G25" s="120"/>
      <c r="H25" s="73" t="str">
        <f>IF(OR(C14=0,H14=0),"",IF(C10="Monsieur",IF((H14-C14)&gt;INDEX(Paramètres!$B$3:$I$14,MATCH($H$14,Paramètres!$C$3:$C$15,0),7),INDEX(Paramètres!$B$3:$I$14,MATCH($H$14,Paramètres!$C$3:$C$15,0),7)+C14,H14-1),IF((H14-C14)&gt;INDEX(Paramètres!$B$3:$I$14,MATCH($H$14,Paramètres!$C$3:$C$15,0),8),INDEX(Paramètres!$B$3:$I$14,MATCH($H$14,Paramètres!$C$3:$C$15,0),8)+C14,H14-1)))</f>
        <v/>
      </c>
      <c r="I25" s="75"/>
    </row>
    <row r="26" spans="1:17" s="6" customFormat="1" ht="15" x14ac:dyDescent="0.25">
      <c r="A26" s="127" t="s">
        <v>50</v>
      </c>
      <c r="B26" s="127"/>
      <c r="C26" s="127"/>
      <c r="D26" s="127"/>
      <c r="E26" s="127"/>
      <c r="F26" s="127"/>
      <c r="G26" s="127"/>
      <c r="H26" s="128"/>
      <c r="I26" s="28">
        <f>IF(H25='Bénéfice de liquidation'!E20,-'Bénéfice de liquidation'!H55,0)</f>
        <v>0</v>
      </c>
    </row>
    <row r="27" spans="1:17" s="6" customFormat="1" ht="15" x14ac:dyDescent="0.25">
      <c r="A27" s="127" t="s">
        <v>39</v>
      </c>
      <c r="B27" s="127"/>
      <c r="C27" s="127"/>
      <c r="D27" s="127"/>
      <c r="E27" s="127"/>
      <c r="F27" s="127"/>
      <c r="G27" s="127"/>
      <c r="H27" s="128"/>
      <c r="I27" s="28">
        <f>SUMIFS($I$21:$I$24,$I$21:$I$24,"&gt;0")+IF(I25+I26&gt;0,I25+I26,0)</f>
        <v>0</v>
      </c>
    </row>
    <row r="28" spans="1:17" s="6" customFormat="1" ht="15" x14ac:dyDescent="0.25">
      <c r="A28" s="124" t="s">
        <v>40</v>
      </c>
      <c r="B28" s="124"/>
      <c r="C28" s="124"/>
      <c r="D28" s="124"/>
      <c r="E28" s="124"/>
      <c r="F28" s="124"/>
      <c r="G28" s="124"/>
      <c r="H28" s="125"/>
      <c r="I28" s="33">
        <f>IFERROR(AVERAGE(IF(I21&lt;0,0,I21),IF(I22&lt;0,0,I22),IF(I23&lt;0,0,I23),IF(I24&lt;0,0,I24),IF(I25+I26&lt;0,0,I25)),0)</f>
        <v>0</v>
      </c>
    </row>
    <row r="29" spans="1:17" s="6" customFormat="1" ht="15" x14ac:dyDescent="0.25">
      <c r="A29" s="115" t="s">
        <v>56</v>
      </c>
      <c r="B29" s="115"/>
      <c r="C29" s="115"/>
      <c r="D29" s="115"/>
      <c r="E29" s="115"/>
      <c r="F29" s="115"/>
      <c r="G29" s="115"/>
      <c r="H29" s="120"/>
      <c r="I29" s="28" t="str">
        <f>IF(C12=0,"",VLOOKUP(H14,Paramètres!$J$3:$M$25,2,0)*10)</f>
        <v/>
      </c>
    </row>
    <row r="30" spans="1:17" s="6" customFormat="1" ht="15" x14ac:dyDescent="0.25">
      <c r="A30" s="124" t="s">
        <v>55</v>
      </c>
      <c r="B30" s="124"/>
      <c r="C30" s="124"/>
      <c r="D30" s="124"/>
      <c r="E30" s="124"/>
      <c r="F30" s="124"/>
      <c r="G30" s="124"/>
      <c r="H30" s="125"/>
      <c r="I30" s="30">
        <f>IF(I28&gt;I29,I29,I28)</f>
        <v>0</v>
      </c>
    </row>
    <row r="31" spans="1:17" s="6" customFormat="1" ht="15" x14ac:dyDescent="0.25">
      <c r="A31" s="20"/>
      <c r="B31" s="20"/>
      <c r="C31" s="20"/>
      <c r="D31" s="20"/>
      <c r="E31" s="20"/>
      <c r="F31" s="20"/>
      <c r="G31" s="20"/>
      <c r="H31" s="23"/>
      <c r="I31" s="23"/>
    </row>
    <row r="32" spans="1:17" s="6" customFormat="1" ht="15" x14ac:dyDescent="0.25">
      <c r="D32" s="7"/>
      <c r="E32" s="23"/>
      <c r="F32" s="23"/>
      <c r="G32" s="11"/>
      <c r="H32" s="23"/>
      <c r="I32" s="19" t="s">
        <v>43</v>
      </c>
    </row>
    <row r="33" spans="1:18" s="6" customFormat="1" ht="15" x14ac:dyDescent="0.25">
      <c r="A33" s="15" t="s">
        <v>42</v>
      </c>
      <c r="B33" s="23"/>
      <c r="C33" s="23"/>
      <c r="D33" s="23"/>
      <c r="E33" s="23"/>
      <c r="F33" s="23"/>
      <c r="G33" s="23"/>
      <c r="H33" s="23"/>
      <c r="I33" s="7"/>
      <c r="L33" s="23"/>
      <c r="M33" s="23"/>
      <c r="N33" s="23"/>
      <c r="O33" s="23"/>
      <c r="P33" s="23"/>
      <c r="Q33" s="23"/>
      <c r="R33" s="23"/>
    </row>
    <row r="34" spans="1:18" s="6" customFormat="1" ht="15" x14ac:dyDescent="0.25">
      <c r="A34" s="115" t="s">
        <v>44</v>
      </c>
      <c r="B34" s="115"/>
      <c r="C34" s="115"/>
      <c r="D34" s="115"/>
      <c r="E34" s="115"/>
      <c r="F34" s="115"/>
      <c r="G34" s="115"/>
      <c r="H34" s="120"/>
      <c r="I34" s="34">
        <f>IF(C14=0,0,IF(H14=0,"",H14-C14))</f>
        <v>0</v>
      </c>
    </row>
    <row r="35" spans="1:18" s="6" customFormat="1" ht="15" x14ac:dyDescent="0.25">
      <c r="A35" s="127" t="s">
        <v>46</v>
      </c>
      <c r="B35" s="127"/>
      <c r="C35" s="127"/>
      <c r="D35" s="127"/>
      <c r="E35" s="127"/>
      <c r="F35" s="127"/>
      <c r="G35" s="127"/>
      <c r="H35" s="128"/>
      <c r="I35" s="34">
        <f>IF(I34=0,0,I34-25)</f>
        <v>0</v>
      </c>
    </row>
    <row r="36" spans="1:18" s="6" customFormat="1" ht="15" x14ac:dyDescent="0.25">
      <c r="A36" s="124" t="s">
        <v>45</v>
      </c>
      <c r="B36" s="124"/>
      <c r="C36" s="124"/>
      <c r="D36" s="124"/>
      <c r="E36" s="124"/>
      <c r="F36" s="124"/>
      <c r="G36" s="124"/>
      <c r="H36" s="125"/>
      <c r="I36" s="35" t="str">
        <f>IF(C10=0,"",IF(INDEX(Paramètres!$B$3:$E$14,MATCH($H$14,Paramètres!$C$3:$C$15,0),MATCH($C$10,Paramètres!$B$2:$E$2,0))&gt;I35,I35,INDEX(Paramètres!$B$3:$E$14,MATCH($H$14,Paramètres!$C$3:$C$15,0),MATCH($C$10,Paramètres!$B$2:$E$2,0))))</f>
        <v/>
      </c>
    </row>
    <row r="37" spans="1:18" s="6" customFormat="1" ht="15" x14ac:dyDescent="0.25">
      <c r="A37" s="20"/>
      <c r="B37" s="20"/>
      <c r="C37" s="20"/>
      <c r="D37" s="20"/>
      <c r="E37" s="20"/>
      <c r="F37" s="20"/>
      <c r="G37" s="20"/>
      <c r="H37" s="23"/>
      <c r="I37" s="23"/>
    </row>
    <row r="38" spans="1:18" s="6" customFormat="1" ht="15" x14ac:dyDescent="0.25">
      <c r="D38" s="7"/>
      <c r="E38" s="23"/>
      <c r="F38" s="23"/>
      <c r="G38" s="11"/>
      <c r="H38" s="19" t="s">
        <v>32</v>
      </c>
      <c r="I38" s="18" t="s">
        <v>32</v>
      </c>
    </row>
    <row r="39" spans="1:18" s="6" customFormat="1" ht="15" x14ac:dyDescent="0.25">
      <c r="A39" s="15" t="s">
        <v>30</v>
      </c>
      <c r="D39" s="7"/>
      <c r="E39" s="7"/>
      <c r="F39" s="7"/>
      <c r="G39" s="7"/>
      <c r="H39" s="7"/>
      <c r="I39" s="7"/>
    </row>
    <row r="40" spans="1:18" s="6" customFormat="1" ht="15" x14ac:dyDescent="0.25">
      <c r="A40" s="115" t="s">
        <v>57</v>
      </c>
      <c r="B40" s="115"/>
      <c r="C40" s="115"/>
      <c r="D40" s="115"/>
      <c r="E40" s="115"/>
      <c r="F40" s="115"/>
      <c r="G40" s="115"/>
      <c r="H40" s="120"/>
      <c r="I40" s="82">
        <f>IF(I30=0,0,IF(I34="","",IF(I36&lt;0,0,I30*I36*VLOOKUP($H$14,Paramètres!$J$3:$N$25,5,0))))</f>
        <v>0</v>
      </c>
      <c r="J40" s="81"/>
    </row>
    <row r="41" spans="1:18" s="6" customFormat="1" ht="15" x14ac:dyDescent="0.25">
      <c r="A41" s="115" t="s">
        <v>47</v>
      </c>
      <c r="B41" s="115"/>
      <c r="C41" s="115"/>
      <c r="D41" s="115"/>
      <c r="E41" s="115"/>
      <c r="F41" s="115"/>
      <c r="G41" s="115"/>
      <c r="H41" s="120" t="e">
        <f>#REF!+1</f>
        <v>#REF!</v>
      </c>
      <c r="I41" s="83"/>
    </row>
    <row r="42" spans="1:18" s="6" customFormat="1" ht="15" x14ac:dyDescent="0.25">
      <c r="A42" s="17" t="s">
        <v>48</v>
      </c>
      <c r="B42" s="17"/>
      <c r="C42" s="17"/>
      <c r="D42" s="17"/>
      <c r="E42" s="17"/>
      <c r="F42" s="17"/>
      <c r="G42" s="17"/>
      <c r="H42" s="12"/>
      <c r="I42" s="83"/>
    </row>
    <row r="43" spans="1:18" s="6" customFormat="1" ht="15" x14ac:dyDescent="0.25">
      <c r="A43" s="115" t="s">
        <v>59</v>
      </c>
      <c r="B43" s="115"/>
      <c r="C43" s="115"/>
      <c r="D43" s="115"/>
      <c r="E43" s="115"/>
      <c r="F43" s="115"/>
      <c r="G43" s="120"/>
      <c r="H43" s="32"/>
      <c r="I43" s="84"/>
    </row>
    <row r="44" spans="1:18" s="6" customFormat="1" ht="15" x14ac:dyDescent="0.25">
      <c r="A44" s="37" t="s">
        <v>60</v>
      </c>
      <c r="B44" s="37"/>
      <c r="C44" s="37"/>
      <c r="D44" s="37"/>
      <c r="E44" s="37"/>
      <c r="F44" s="37"/>
      <c r="G44" s="38"/>
      <c r="H44" s="32"/>
      <c r="I44" s="84"/>
    </row>
    <row r="45" spans="1:18" s="6" customFormat="1" ht="15" x14ac:dyDescent="0.25">
      <c r="A45" s="115" t="s">
        <v>62</v>
      </c>
      <c r="B45" s="115"/>
      <c r="C45" s="115"/>
      <c r="D45" s="115"/>
      <c r="E45" s="115"/>
      <c r="F45" s="115"/>
      <c r="G45" s="120"/>
      <c r="H45" s="28">
        <f>IF(I34=0,0,IF(C14&lt;Paramètres!P3,-INDEX(Paramètres!$Q$3:$AM$42,1,MATCH($H$14,Paramètres!$Q$2:$AM$2,0)),-INDEX(Paramètres!$Q$3:$AM$42,MATCH($C$14,Paramètres!$P$3:$P$42,0),MATCH($H$14,Paramètres!$Q$2:$AM$2,0))))</f>
        <v>0</v>
      </c>
      <c r="I45" s="82">
        <f>IF(H45="",0,IF((H43+H44)&lt;H45,H43+H44-H45,0))</f>
        <v>0</v>
      </c>
      <c r="J45" s="80"/>
    </row>
    <row r="46" spans="1:18" s="6" customFormat="1" ht="15" x14ac:dyDescent="0.25">
      <c r="A46" s="124" t="s">
        <v>49</v>
      </c>
      <c r="B46" s="124"/>
      <c r="C46" s="124"/>
      <c r="D46" s="124"/>
      <c r="E46" s="124"/>
      <c r="F46" s="124"/>
      <c r="G46" s="124"/>
      <c r="H46" s="125"/>
      <c r="I46" s="30">
        <f>IF(OR(H14=0,C14=0,C10=""),0,IF(C10="Monsieur",IF((H14-C14)&gt;INDEX(Paramètres!$B$3:$I$14,MATCH($H$14,Paramètres!$C$3:$C$15,0),5),0,IF(I40+I41+I42+I45&lt;0,0,I40+I41+I42+I45)),IF((H14-C14)&gt;INDEX(Paramètres!$B$3:$I$14,MATCH($H$14,Paramètres!$C$3:$C$15,0),6),0,IF(I40+I41+I42+I45&lt;0,0,I40+I41+I42+I45))))</f>
        <v>0</v>
      </c>
    </row>
    <row r="47" spans="1:18" s="6" customFormat="1" ht="4.5" customHeight="1" x14ac:dyDescent="0.25"/>
    <row r="48" spans="1:18" s="6" customFormat="1" ht="15" x14ac:dyDescent="0.25">
      <c r="D48" s="123" t="str">
        <f>IF(OR(I41&gt;0,I42&gt;0,H43&gt;0,H44&gt;0),"Attention ! Erreur de saisie","")</f>
        <v/>
      </c>
      <c r="E48" s="123"/>
      <c r="F48" s="126" t="str">
        <f>IF(AND(C10="Monsieur",H14-C14&gt;70),"Pas de rachat fictif au-delà de 70 ans",IF(AND(C10="Madame",H14-C14&gt;69),"Pas de rachat fictif au-delà de 69 ans",""))</f>
        <v/>
      </c>
      <c r="G48" s="126"/>
      <c r="H48" s="126"/>
      <c r="I48" s="126"/>
    </row>
    <row r="49" spans="1:11" s="6" customFormat="1" ht="15" x14ac:dyDescent="0.25"/>
    <row r="50" spans="1:11" s="6" customFormat="1" ht="15.75" x14ac:dyDescent="0.25">
      <c r="A50" s="111" t="s">
        <v>51</v>
      </c>
      <c r="B50" s="111"/>
      <c r="C50" s="111"/>
      <c r="D50" s="111"/>
      <c r="E50" s="111"/>
      <c r="F50" s="111"/>
      <c r="G50" s="111"/>
      <c r="H50" s="111"/>
      <c r="I50" s="111"/>
    </row>
    <row r="51" spans="1:11" s="6" customFormat="1" ht="15" x14ac:dyDescent="0.25"/>
    <row r="52" spans="1:11" s="6" customFormat="1" ht="15" x14ac:dyDescent="0.25">
      <c r="A52" s="115" t="s">
        <v>52</v>
      </c>
      <c r="B52" s="115"/>
      <c r="C52" s="115"/>
      <c r="D52" s="115"/>
      <c r="E52" s="115"/>
      <c r="F52" s="115"/>
      <c r="G52" s="115"/>
      <c r="H52" s="120"/>
      <c r="I52" s="28">
        <f>'Bénéfice de liquidation'!I59</f>
        <v>0</v>
      </c>
    </row>
    <row r="53" spans="1:11" s="6" customFormat="1" ht="4.5" customHeight="1" x14ac:dyDescent="0.25">
      <c r="A53" s="23"/>
      <c r="B53" s="23"/>
      <c r="C53" s="23"/>
      <c r="D53" s="23"/>
      <c r="E53" s="23"/>
      <c r="F53" s="23"/>
      <c r="G53" s="23"/>
      <c r="H53" s="23"/>
      <c r="I53" s="23"/>
      <c r="J53" s="23"/>
      <c r="K53" s="23"/>
    </row>
    <row r="54" spans="1:11" s="6" customFormat="1" ht="15" x14ac:dyDescent="0.25">
      <c r="A54" s="109" t="s">
        <v>53</v>
      </c>
      <c r="B54" s="109"/>
      <c r="C54" s="109"/>
      <c r="D54" s="109"/>
      <c r="E54" s="109"/>
      <c r="F54" s="109"/>
      <c r="G54" s="109"/>
      <c r="H54" s="110"/>
      <c r="I54" s="30">
        <f>IF(I46&gt;I52,I52,IF(I52=0,0,I46))</f>
        <v>0</v>
      </c>
    </row>
    <row r="55" spans="1:11" s="6" customFormat="1" ht="4.5" customHeight="1" x14ac:dyDescent="0.25">
      <c r="A55" s="36"/>
      <c r="B55" s="36"/>
      <c r="C55" s="36"/>
      <c r="D55" s="36"/>
      <c r="E55" s="36"/>
      <c r="F55" s="36"/>
      <c r="G55" s="36"/>
      <c r="H55" s="36"/>
      <c r="I55" s="36"/>
      <c r="J55" s="23"/>
      <c r="K55" s="23"/>
    </row>
    <row r="56" spans="1:11" s="6" customFormat="1" ht="15" x14ac:dyDescent="0.25">
      <c r="A56" s="109" t="s">
        <v>54</v>
      </c>
      <c r="B56" s="109"/>
      <c r="C56" s="109"/>
      <c r="D56" s="109"/>
      <c r="E56" s="109"/>
      <c r="F56" s="109"/>
      <c r="G56" s="109"/>
      <c r="H56" s="110"/>
      <c r="I56" s="30">
        <f>IF(I34="","",I52-I54)</f>
        <v>0</v>
      </c>
    </row>
    <row r="57" spans="1:11" s="6" customFormat="1" ht="15" x14ac:dyDescent="0.25"/>
    <row r="58" spans="1:11" s="6" customFormat="1" ht="15" x14ac:dyDescent="0.25"/>
    <row r="59" spans="1:11" s="6" customFormat="1" ht="15" x14ac:dyDescent="0.25"/>
    <row r="60" spans="1:11" s="6" customFormat="1" ht="15" x14ac:dyDescent="0.25"/>
    <row r="61" spans="1:11" s="6" customFormat="1" ht="15" x14ac:dyDescent="0.25"/>
    <row r="62" spans="1:11" s="6" customFormat="1" ht="15" x14ac:dyDescent="0.25"/>
    <row r="63" spans="1:11" s="6" customFormat="1" ht="15" x14ac:dyDescent="0.25"/>
    <row r="64" spans="1:11" s="6" customFormat="1" ht="15" x14ac:dyDescent="0.25"/>
    <row r="65" s="6" customFormat="1" ht="15" x14ac:dyDescent="0.25"/>
    <row r="66" s="6" customFormat="1" ht="15" x14ac:dyDescent="0.25"/>
    <row r="67" s="6" customFormat="1" ht="15" x14ac:dyDescent="0.25"/>
    <row r="68" s="6" customFormat="1" ht="15" x14ac:dyDescent="0.25"/>
    <row r="69" s="6" customFormat="1" ht="15" x14ac:dyDescent="0.25"/>
    <row r="70" s="6" customFormat="1" ht="15" x14ac:dyDescent="0.25"/>
    <row r="71" s="6" customFormat="1" ht="15" x14ac:dyDescent="0.25"/>
    <row r="72" s="24" customFormat="1" ht="14.25" x14ac:dyDescent="0.2"/>
    <row r="73" s="24" customFormat="1" ht="14.25" x14ac:dyDescent="0.2"/>
    <row r="74" s="24" customFormat="1" ht="14.25" x14ac:dyDescent="0.2"/>
    <row r="75" s="24" customFormat="1" ht="14.25" x14ac:dyDescent="0.2"/>
    <row r="76" s="24" customFormat="1" ht="14.25" x14ac:dyDescent="0.2"/>
    <row r="77" s="24" customFormat="1" ht="14.25" x14ac:dyDescent="0.2"/>
    <row r="78" s="24" customFormat="1" ht="14.25" x14ac:dyDescent="0.2"/>
    <row r="79" s="24" customFormat="1" ht="14.25" x14ac:dyDescent="0.2"/>
    <row r="80" s="24" customFormat="1" ht="14.25" x14ac:dyDescent="0.2"/>
    <row r="81" s="24" customFormat="1" ht="14.25" x14ac:dyDescent="0.2"/>
    <row r="82" s="24" customFormat="1" ht="14.25" x14ac:dyDescent="0.2"/>
    <row r="83" s="24" customFormat="1" ht="14.25" x14ac:dyDescent="0.2"/>
    <row r="84" s="24" customFormat="1" ht="14.25" x14ac:dyDescent="0.2"/>
    <row r="85" s="24" customFormat="1" ht="14.25" x14ac:dyDescent="0.2"/>
    <row r="86" s="24" customFormat="1" ht="14.25" x14ac:dyDescent="0.2"/>
    <row r="87" s="24" customFormat="1" ht="14.25" x14ac:dyDescent="0.2"/>
    <row r="88" s="24" customFormat="1" ht="14.25" x14ac:dyDescent="0.2"/>
    <row r="89" s="24" customFormat="1" ht="14.25" x14ac:dyDescent="0.2"/>
    <row r="90" s="24" customFormat="1" ht="14.25" x14ac:dyDescent="0.2"/>
    <row r="91" s="24" customFormat="1" ht="14.25" x14ac:dyDescent="0.2"/>
    <row r="92" s="24" customFormat="1" ht="14.25" x14ac:dyDescent="0.2"/>
    <row r="93" s="24" customFormat="1" ht="14.25" x14ac:dyDescent="0.2"/>
    <row r="94" s="24" customFormat="1" ht="14.25" x14ac:dyDescent="0.2"/>
    <row r="95" s="24" customFormat="1" ht="14.25" x14ac:dyDescent="0.2"/>
    <row r="96" s="24" customFormat="1" ht="14.25" x14ac:dyDescent="0.2"/>
    <row r="97" s="24" customFormat="1" ht="14.25" x14ac:dyDescent="0.2"/>
    <row r="98" s="24" customFormat="1" ht="14.25" x14ac:dyDescent="0.2"/>
    <row r="99" s="24" customFormat="1" ht="14.25" x14ac:dyDescent="0.2"/>
    <row r="100" s="24" customFormat="1" ht="14.25" x14ac:dyDescent="0.2"/>
    <row r="101" s="24" customFormat="1" ht="14.25" x14ac:dyDescent="0.2"/>
    <row r="102" s="24" customFormat="1" ht="14.25" x14ac:dyDescent="0.2"/>
    <row r="103" s="24" customFormat="1" ht="14.25" x14ac:dyDescent="0.2"/>
    <row r="104" s="24" customFormat="1" ht="14.25" x14ac:dyDescent="0.2"/>
    <row r="105" s="24" customFormat="1" ht="14.25" x14ac:dyDescent="0.2"/>
    <row r="106" s="24" customFormat="1" ht="14.25" x14ac:dyDescent="0.2"/>
    <row r="107" s="24" customFormat="1" ht="14.25" x14ac:dyDescent="0.2"/>
    <row r="108" s="24" customFormat="1" ht="14.25" x14ac:dyDescent="0.2"/>
    <row r="109" s="24" customFormat="1" ht="14.25" x14ac:dyDescent="0.2"/>
    <row r="110" s="24" customFormat="1" ht="14.25" x14ac:dyDescent="0.2"/>
    <row r="111" s="24" customFormat="1" ht="14.25" x14ac:dyDescent="0.2"/>
    <row r="112" s="24" customFormat="1" ht="14.25" x14ac:dyDescent="0.2"/>
    <row r="113" s="24" customFormat="1" ht="14.25" x14ac:dyDescent="0.2"/>
    <row r="114" s="24" customFormat="1" ht="14.25" x14ac:dyDescent="0.2"/>
    <row r="115" s="24" customFormat="1" ht="14.25" x14ac:dyDescent="0.2"/>
    <row r="116" s="24" customFormat="1" ht="14.25" x14ac:dyDescent="0.2"/>
    <row r="117" s="24" customFormat="1" ht="14.25" x14ac:dyDescent="0.2"/>
    <row r="118" s="24" customFormat="1" ht="14.25" x14ac:dyDescent="0.2"/>
    <row r="119" s="24" customFormat="1" ht="14.25" x14ac:dyDescent="0.2"/>
    <row r="120" s="24" customFormat="1" ht="14.25" x14ac:dyDescent="0.2"/>
    <row r="121" s="24" customFormat="1" ht="14.25" x14ac:dyDescent="0.2"/>
    <row r="122" s="24" customFormat="1" ht="14.25" x14ac:dyDescent="0.2"/>
    <row r="123" s="24" customFormat="1" ht="14.25" x14ac:dyDescent="0.2"/>
    <row r="124" s="24" customFormat="1" ht="14.25" x14ac:dyDescent="0.2"/>
    <row r="125" s="24" customFormat="1" ht="14.25" x14ac:dyDescent="0.2"/>
    <row r="126" s="24" customFormat="1" ht="14.25" x14ac:dyDescent="0.2"/>
    <row r="127" s="24" customFormat="1" ht="14.25" x14ac:dyDescent="0.2"/>
    <row r="128" s="24" customFormat="1" ht="14.25" x14ac:dyDescent="0.2"/>
    <row r="129" s="24" customFormat="1" ht="14.25" x14ac:dyDescent="0.2"/>
    <row r="130" s="24" customFormat="1" ht="14.25" x14ac:dyDescent="0.2"/>
    <row r="131" s="24" customFormat="1" ht="14.25" x14ac:dyDescent="0.2"/>
    <row r="132" s="24" customFormat="1" ht="14.25" x14ac:dyDescent="0.2"/>
    <row r="133" s="24" customFormat="1" ht="14.25" x14ac:dyDescent="0.2"/>
    <row r="134" s="24" customFormat="1" ht="14.25" x14ac:dyDescent="0.2"/>
    <row r="135" s="24" customFormat="1" ht="14.25" x14ac:dyDescent="0.2"/>
    <row r="136" s="24" customFormat="1" ht="14.25" x14ac:dyDescent="0.2"/>
    <row r="137" s="24" customFormat="1" ht="14.25" x14ac:dyDescent="0.2"/>
    <row r="138" s="24" customFormat="1" ht="14.25" x14ac:dyDescent="0.2"/>
    <row r="139" s="24" customFormat="1" ht="14.25" x14ac:dyDescent="0.2"/>
    <row r="140" s="24" customFormat="1" ht="14.25" x14ac:dyDescent="0.2"/>
    <row r="141" s="24" customFormat="1" ht="14.25" x14ac:dyDescent="0.2"/>
    <row r="142" s="24" customFormat="1" ht="14.25" x14ac:dyDescent="0.2"/>
    <row r="143" s="24" customFormat="1" ht="14.25" x14ac:dyDescent="0.2"/>
    <row r="144" s="24" customFormat="1" ht="14.25" x14ac:dyDescent="0.2"/>
    <row r="145" s="24" customFormat="1" ht="14.25" x14ac:dyDescent="0.2"/>
    <row r="146" s="24" customFormat="1" ht="14.25" x14ac:dyDescent="0.2"/>
    <row r="147" s="24" customFormat="1" ht="14.25" x14ac:dyDescent="0.2"/>
    <row r="148" s="24" customFormat="1" ht="14.25" x14ac:dyDescent="0.2"/>
    <row r="149" s="24" customFormat="1" ht="14.25" x14ac:dyDescent="0.2"/>
    <row r="150" s="24" customFormat="1" ht="14.25" x14ac:dyDescent="0.2"/>
    <row r="151" s="24" customFormat="1" ht="14.25" x14ac:dyDescent="0.2"/>
    <row r="152" s="24" customFormat="1" ht="14.25" x14ac:dyDescent="0.2"/>
    <row r="153" s="24" customFormat="1" ht="14.25" x14ac:dyDescent="0.2"/>
    <row r="154" s="24" customFormat="1" ht="14.25" x14ac:dyDescent="0.2"/>
    <row r="155" s="24" customFormat="1" ht="14.25" x14ac:dyDescent="0.2"/>
    <row r="156" s="24" customFormat="1" ht="14.25" x14ac:dyDescent="0.2"/>
    <row r="157" s="24" customFormat="1" ht="14.25" x14ac:dyDescent="0.2"/>
    <row r="158" s="24" customFormat="1" ht="14.25" x14ac:dyDescent="0.2"/>
    <row r="159" s="24" customFormat="1" ht="14.25" x14ac:dyDescent="0.2"/>
    <row r="160" s="24" customFormat="1" ht="14.25" x14ac:dyDescent="0.2"/>
    <row r="161" s="24" customFormat="1" ht="14.25" x14ac:dyDescent="0.2"/>
    <row r="162" s="24" customFormat="1" ht="14.25" x14ac:dyDescent="0.2"/>
    <row r="163" s="24" customFormat="1" ht="14.25" x14ac:dyDescent="0.2"/>
    <row r="164" s="24" customFormat="1" ht="14.25" x14ac:dyDescent="0.2"/>
    <row r="165" s="24" customFormat="1" ht="14.25" x14ac:dyDescent="0.2"/>
    <row r="166" s="24" customFormat="1" ht="14.25" x14ac:dyDescent="0.2"/>
    <row r="167" s="24" customFormat="1" ht="14.25" x14ac:dyDescent="0.2"/>
    <row r="168" s="24" customFormat="1" ht="14.25" x14ac:dyDescent="0.2"/>
    <row r="169" s="24" customFormat="1" ht="14.25" x14ac:dyDescent="0.2"/>
    <row r="170" s="24" customFormat="1" ht="14.25" x14ac:dyDescent="0.2"/>
    <row r="171" s="24" customFormat="1" ht="14.25" x14ac:dyDescent="0.2"/>
    <row r="172" s="24" customFormat="1" ht="14.25" x14ac:dyDescent="0.2"/>
    <row r="173" s="24" customFormat="1" ht="14.25" x14ac:dyDescent="0.2"/>
    <row r="174" s="24" customFormat="1" ht="14.25" x14ac:dyDescent="0.2"/>
    <row r="175" s="24" customFormat="1" ht="14.25" x14ac:dyDescent="0.2"/>
    <row r="176" s="24" customFormat="1" ht="14.25" x14ac:dyDescent="0.2"/>
    <row r="177" s="24" customFormat="1" ht="14.25" x14ac:dyDescent="0.2"/>
    <row r="178" s="24" customFormat="1" ht="14.25" x14ac:dyDescent="0.2"/>
    <row r="179" s="24" customFormat="1" ht="14.25" x14ac:dyDescent="0.2"/>
    <row r="180" s="24" customFormat="1" ht="14.25" x14ac:dyDescent="0.2"/>
    <row r="181" s="24" customFormat="1" ht="14.25" x14ac:dyDescent="0.2"/>
    <row r="182" s="24" customFormat="1" ht="14.25" x14ac:dyDescent="0.2"/>
    <row r="183" s="24" customFormat="1" ht="14.25" x14ac:dyDescent="0.2"/>
    <row r="184" s="24" customFormat="1" ht="14.25" x14ac:dyDescent="0.2"/>
    <row r="185" s="24" customFormat="1" ht="14.25" x14ac:dyDescent="0.2"/>
    <row r="186" s="24" customFormat="1" ht="14.25" x14ac:dyDescent="0.2"/>
    <row r="187" s="24" customFormat="1" ht="14.25" x14ac:dyDescent="0.2"/>
    <row r="188" s="24" customFormat="1" ht="14.25" x14ac:dyDescent="0.2"/>
    <row r="189" s="24" customFormat="1" ht="14.25" x14ac:dyDescent="0.2"/>
    <row r="190" s="24" customFormat="1" ht="14.25" x14ac:dyDescent="0.2"/>
    <row r="191" s="24" customFormat="1" ht="14.25" x14ac:dyDescent="0.2"/>
    <row r="192" s="24" customFormat="1" ht="14.25" x14ac:dyDescent="0.2"/>
    <row r="193" s="24" customFormat="1" ht="14.25" x14ac:dyDescent="0.2"/>
    <row r="194" s="24" customFormat="1" ht="14.25" x14ac:dyDescent="0.2"/>
    <row r="195" s="24" customFormat="1" ht="14.25" x14ac:dyDescent="0.2"/>
    <row r="196" s="24" customFormat="1" ht="14.25" x14ac:dyDescent="0.2"/>
    <row r="197" s="24" customFormat="1" ht="14.25" x14ac:dyDescent="0.2"/>
    <row r="198" s="24" customFormat="1" ht="14.25" x14ac:dyDescent="0.2"/>
    <row r="199" s="24" customFormat="1" ht="14.25" x14ac:dyDescent="0.2"/>
    <row r="200" s="24" customFormat="1" ht="14.25" x14ac:dyDescent="0.2"/>
    <row r="201" s="24" customFormat="1" ht="14.25" x14ac:dyDescent="0.2"/>
    <row r="202" s="24" customFormat="1" ht="14.25" x14ac:dyDescent="0.2"/>
    <row r="203" s="24" customFormat="1" ht="14.25" x14ac:dyDescent="0.2"/>
    <row r="204" s="24" customFormat="1" ht="14.25" x14ac:dyDescent="0.2"/>
    <row r="205" s="24" customFormat="1" ht="14.25" x14ac:dyDescent="0.2"/>
    <row r="206" s="24" customFormat="1" ht="14.25" x14ac:dyDescent="0.2"/>
    <row r="207" s="24" customFormat="1" ht="14.25" x14ac:dyDescent="0.2"/>
    <row r="208" s="24" customFormat="1" ht="14.25" x14ac:dyDescent="0.2"/>
    <row r="209" s="24" customFormat="1" ht="14.25" x14ac:dyDescent="0.2"/>
    <row r="210" s="24" customFormat="1" ht="14.25" x14ac:dyDescent="0.2"/>
    <row r="211" s="24" customFormat="1" ht="14.25" x14ac:dyDescent="0.2"/>
    <row r="212" s="24" customFormat="1" ht="14.25" x14ac:dyDescent="0.2"/>
    <row r="213" s="24" customFormat="1" ht="14.25" x14ac:dyDescent="0.2"/>
    <row r="214" s="24" customFormat="1" ht="14.25" x14ac:dyDescent="0.2"/>
    <row r="215" s="24" customFormat="1" ht="14.25" x14ac:dyDescent="0.2"/>
    <row r="216" s="24" customFormat="1" ht="14.25" x14ac:dyDescent="0.2"/>
    <row r="217" s="24" customFormat="1" ht="14.25" x14ac:dyDescent="0.2"/>
    <row r="218" s="24" customFormat="1" ht="14.25" x14ac:dyDescent="0.2"/>
  </sheetData>
  <sheetProtection algorithmName="SHA-512" hashValue="R5OTL9aPrBW/LaMM1RzA727gWysgpKM/1SLMaenOP18PlPnJsxBxwrHAwvlvHhxoNpO5pGb57nHkzqXezXWLNQ==" saltValue="ylfPn7+fSKvhtSg6FnZhpA==" spinCount="100000" sheet="1" objects="1" scenarios="1"/>
  <mergeCells count="30">
    <mergeCell ref="A3:C5"/>
    <mergeCell ref="D3:I5"/>
    <mergeCell ref="A8:I8"/>
    <mergeCell ref="H10:I10"/>
    <mergeCell ref="H12:I12"/>
    <mergeCell ref="A34:H34"/>
    <mergeCell ref="A35:H35"/>
    <mergeCell ref="A36:H36"/>
    <mergeCell ref="A17:I17"/>
    <mergeCell ref="A22:G22"/>
    <mergeCell ref="A23:G23"/>
    <mergeCell ref="A24:G24"/>
    <mergeCell ref="A25:G25"/>
    <mergeCell ref="A21:G21"/>
    <mergeCell ref="A26:H26"/>
    <mergeCell ref="A27:H27"/>
    <mergeCell ref="A28:H28"/>
    <mergeCell ref="A29:H29"/>
    <mergeCell ref="A30:H30"/>
    <mergeCell ref="A40:H40"/>
    <mergeCell ref="A41:H41"/>
    <mergeCell ref="A45:G45"/>
    <mergeCell ref="A43:G43"/>
    <mergeCell ref="A50:I50"/>
    <mergeCell ref="A52:H52"/>
    <mergeCell ref="A54:H54"/>
    <mergeCell ref="A56:H56"/>
    <mergeCell ref="A46:H46"/>
    <mergeCell ref="D48:E48"/>
    <mergeCell ref="F48:I48"/>
  </mergeCells>
  <printOptions horizontalCentered="1"/>
  <pageMargins left="0.23622047244094491" right="0.27559055118110237" top="0.31496062992125984" bottom="0.39370078740157483" header="0.31496062992125984" footer="0.15748031496062992"/>
  <pageSetup paperSize="9" orientation="portrait" r:id="rId1"/>
  <headerFooter>
    <oddFooter>&amp;L&amp;6Date de révision : 14.12.25&amp;C&amp;6SCCOF732V14&amp;R&amp;6Date de création : 5.1.2012</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41"/>
  <sheetViews>
    <sheetView showGridLines="0" zoomScaleNormal="100" workbookViewId="0">
      <selection activeCell="E28" sqref="E28:F28"/>
    </sheetView>
  </sheetViews>
  <sheetFormatPr baseColWidth="10" defaultColWidth="11.42578125" defaultRowHeight="12.75" x14ac:dyDescent="0.2"/>
  <cols>
    <col min="1" max="7" width="12.7109375" style="23" customWidth="1"/>
    <col min="8" max="8" width="13.28515625" style="23" customWidth="1"/>
    <col min="9" max="16384" width="11.42578125" style="23"/>
  </cols>
  <sheetData>
    <row r="1" spans="1:8" ht="15" x14ac:dyDescent="0.25">
      <c r="H1" s="50" t="str">
        <f>'Rachat fictif'!I1</f>
        <v/>
      </c>
    </row>
    <row r="2" spans="1:8" ht="6.75" customHeight="1" x14ac:dyDescent="0.2"/>
    <row r="3" spans="1:8" x14ac:dyDescent="0.2">
      <c r="A3" s="89"/>
      <c r="B3" s="90"/>
      <c r="C3" s="91"/>
      <c r="D3" s="98" t="s">
        <v>0</v>
      </c>
      <c r="E3" s="99"/>
      <c r="F3" s="99"/>
      <c r="G3" s="99"/>
      <c r="H3" s="100"/>
    </row>
    <row r="4" spans="1:8" x14ac:dyDescent="0.2">
      <c r="A4" s="92"/>
      <c r="B4" s="93"/>
      <c r="C4" s="94"/>
      <c r="D4" s="101"/>
      <c r="E4" s="102"/>
      <c r="F4" s="102"/>
      <c r="G4" s="102"/>
      <c r="H4" s="103"/>
    </row>
    <row r="5" spans="1:8" x14ac:dyDescent="0.2">
      <c r="A5" s="95"/>
      <c r="B5" s="96"/>
      <c r="C5" s="97"/>
      <c r="D5" s="104"/>
      <c r="E5" s="105"/>
      <c r="F5" s="105"/>
      <c r="G5" s="105"/>
      <c r="H5" s="106"/>
    </row>
    <row r="6" spans="1:8" x14ac:dyDescent="0.2">
      <c r="A6" s="1"/>
      <c r="B6" s="1"/>
      <c r="C6" s="1"/>
      <c r="D6" s="1"/>
      <c r="E6" s="1"/>
      <c r="F6" s="1"/>
      <c r="G6" s="1"/>
      <c r="H6" s="1"/>
    </row>
    <row r="7" spans="1:8" x14ac:dyDescent="0.2">
      <c r="A7" s="1"/>
      <c r="B7" s="1"/>
      <c r="C7" s="1"/>
      <c r="D7" s="1"/>
      <c r="E7" s="1"/>
      <c r="F7" s="1"/>
      <c r="G7" s="1"/>
      <c r="H7" s="1"/>
    </row>
    <row r="8" spans="1:8" ht="15.75" x14ac:dyDescent="0.25">
      <c r="A8" s="111" t="s">
        <v>61</v>
      </c>
      <c r="B8" s="111"/>
      <c r="C8" s="111"/>
      <c r="D8" s="111"/>
      <c r="E8" s="111"/>
      <c r="F8" s="111"/>
      <c r="G8" s="111"/>
      <c r="H8" s="111"/>
    </row>
    <row r="9" spans="1:8" x14ac:dyDescent="0.2">
      <c r="A9" s="1"/>
      <c r="B9" s="1"/>
      <c r="C9" s="1"/>
      <c r="D9" s="1"/>
      <c r="E9" s="1"/>
      <c r="F9" s="1"/>
      <c r="G9" s="1"/>
      <c r="H9" s="1"/>
    </row>
    <row r="10" spans="1:8" ht="15" x14ac:dyDescent="0.25">
      <c r="A10" s="3" t="s">
        <v>58</v>
      </c>
      <c r="B10" s="3"/>
      <c r="C10" s="67">
        <v>0</v>
      </c>
      <c r="E10" s="3" t="s">
        <v>5</v>
      </c>
      <c r="F10" s="3"/>
      <c r="G10" s="129">
        <f>'Rachat fictif'!$H$10</f>
        <v>0</v>
      </c>
      <c r="H10" s="130"/>
    </row>
    <row r="11" spans="1:8" ht="15" x14ac:dyDescent="0.25">
      <c r="A11" s="4"/>
      <c r="B11" s="4"/>
      <c r="C11" s="5"/>
      <c r="E11" s="7"/>
      <c r="F11" s="6"/>
      <c r="G11" s="5"/>
      <c r="H11" s="8"/>
    </row>
    <row r="12" spans="1:8" ht="15" x14ac:dyDescent="0.25">
      <c r="A12" s="3" t="s">
        <v>3</v>
      </c>
      <c r="B12" s="3"/>
      <c r="C12" s="67">
        <v>0</v>
      </c>
      <c r="E12" s="3" t="s">
        <v>1</v>
      </c>
      <c r="F12" s="3"/>
      <c r="G12" s="129">
        <f>'Rachat fictif'!$H$12</f>
        <v>0</v>
      </c>
      <c r="H12" s="130"/>
    </row>
    <row r="13" spans="1:8" ht="15" x14ac:dyDescent="0.25">
      <c r="A13" s="6"/>
      <c r="B13" s="6"/>
      <c r="C13" s="5"/>
      <c r="E13" s="7"/>
      <c r="F13" s="6"/>
      <c r="G13" s="8"/>
      <c r="H13" s="8"/>
    </row>
    <row r="14" spans="1:8" ht="15" x14ac:dyDescent="0.25">
      <c r="A14" s="3" t="s">
        <v>4</v>
      </c>
      <c r="B14" s="3"/>
      <c r="C14" s="67">
        <v>0</v>
      </c>
      <c r="E14" s="9" t="s">
        <v>2</v>
      </c>
      <c r="F14" s="9"/>
      <c r="G14" s="67">
        <f>'Rachat fictif'!$H$14</f>
        <v>0</v>
      </c>
    </row>
    <row r="19" spans="1:8" ht="18.75" x14ac:dyDescent="0.3">
      <c r="A19" s="137" t="str">
        <f>CONCATENATE("Communications ",'Bénéfice de liquidation'!F20)</f>
        <v xml:space="preserve">Communications </v>
      </c>
      <c r="B19" s="137"/>
      <c r="C19" s="137"/>
      <c r="D19" s="137"/>
      <c r="E19" s="137"/>
      <c r="F19" s="137"/>
      <c r="G19" s="137"/>
      <c r="H19" s="137"/>
    </row>
    <row r="20" spans="1:8" ht="15" x14ac:dyDescent="0.25">
      <c r="A20" s="6"/>
      <c r="B20" s="6"/>
      <c r="C20" s="6"/>
      <c r="D20" s="6"/>
    </row>
    <row r="21" spans="1:8" ht="15" x14ac:dyDescent="0.25">
      <c r="A21" s="6"/>
      <c r="B21" s="6"/>
      <c r="C21" s="6"/>
      <c r="D21" s="6"/>
    </row>
    <row r="22" spans="1:8" ht="18.75" x14ac:dyDescent="0.3">
      <c r="A22" s="48" t="s">
        <v>65</v>
      </c>
      <c r="B22" s="48"/>
      <c r="C22" s="48"/>
      <c r="D22" s="41"/>
      <c r="E22" s="138">
        <f>IF('Bénéfice de liquidation'!F41&lt;0,'Bénéfice de liquidation'!I55-'Bénéfice de liquidation'!I51,'Bénéfice de liquidation'!I55+'Bénéfice de liquidation'!F41-'Bénéfice de liquidation'!I51)</f>
        <v>0</v>
      </c>
      <c r="F22" s="139"/>
    </row>
    <row r="23" spans="1:8" ht="18.75" x14ac:dyDescent="0.3">
      <c r="A23" s="43"/>
      <c r="B23" s="43"/>
      <c r="C23" s="43"/>
      <c r="E23" s="44"/>
    </row>
    <row r="24" spans="1:8" ht="18.75" x14ac:dyDescent="0.3">
      <c r="A24" s="48" t="s">
        <v>66</v>
      </c>
      <c r="B24" s="48"/>
      <c r="C24" s="48"/>
      <c r="D24" s="41"/>
      <c r="E24" s="135">
        <f>IF('Bénéfice de liquidation'!F41&lt;0,0,'Bénéfice de liquidation'!F41)</f>
        <v>0</v>
      </c>
      <c r="F24" s="136"/>
    </row>
    <row r="25" spans="1:8" ht="18.75" x14ac:dyDescent="0.3">
      <c r="A25" s="43"/>
      <c r="B25" s="43"/>
      <c r="C25" s="43"/>
      <c r="E25" s="44"/>
    </row>
    <row r="26" spans="1:8" ht="18.75" x14ac:dyDescent="0.3">
      <c r="A26" s="48" t="s">
        <v>67</v>
      </c>
      <c r="B26" s="48"/>
      <c r="C26" s="48"/>
      <c r="D26" s="41"/>
      <c r="E26" s="131">
        <f>'Rachat fictif'!I54</f>
        <v>0</v>
      </c>
      <c r="F26" s="132"/>
    </row>
    <row r="27" spans="1:8" ht="18.75" x14ac:dyDescent="0.3">
      <c r="A27" s="43"/>
      <c r="B27" s="43"/>
      <c r="C27" s="43"/>
      <c r="E27" s="44"/>
    </row>
    <row r="28" spans="1:8" ht="18.75" x14ac:dyDescent="0.3">
      <c r="A28" s="48" t="s">
        <v>68</v>
      </c>
      <c r="B28" s="48"/>
      <c r="C28" s="48"/>
      <c r="D28" s="41"/>
      <c r="E28" s="133">
        <f>IF('Rachat fictif'!I56="",0,'Rachat fictif'!I56)</f>
        <v>0</v>
      </c>
      <c r="F28" s="134"/>
    </row>
    <row r="29" spans="1:8" ht="18.75" x14ac:dyDescent="0.3">
      <c r="A29" s="49"/>
      <c r="B29" s="49"/>
      <c r="C29" s="49"/>
      <c r="D29" s="40"/>
      <c r="E29"/>
      <c r="F29"/>
    </row>
    <row r="30" spans="1:8" ht="15" x14ac:dyDescent="0.25">
      <c r="A30" s="6"/>
      <c r="B30" s="6"/>
      <c r="C30" s="6"/>
      <c r="D30" s="6"/>
    </row>
    <row r="31" spans="1:8" ht="15" x14ac:dyDescent="0.25">
      <c r="A31" s="6"/>
      <c r="B31" s="6"/>
      <c r="C31" s="6"/>
      <c r="D31" s="6"/>
    </row>
    <row r="32" spans="1:8" ht="18.75" x14ac:dyDescent="0.3">
      <c r="A32" s="137" t="str">
        <f>CONCATENATE("Communications ",'Bénéfice de liquidation'!E20)</f>
        <v xml:space="preserve">Communications </v>
      </c>
      <c r="B32" s="137"/>
      <c r="C32" s="137"/>
      <c r="D32" s="137"/>
      <c r="E32" s="137"/>
      <c r="F32" s="137"/>
      <c r="G32" s="137"/>
      <c r="H32" s="137"/>
    </row>
    <row r="33" spans="1:6" ht="15" x14ac:dyDescent="0.25">
      <c r="A33" s="6"/>
      <c r="B33" s="6"/>
      <c r="C33" s="6"/>
      <c r="D33" s="6"/>
    </row>
    <row r="34" spans="1:6" ht="15" x14ac:dyDescent="0.25">
      <c r="A34" s="6"/>
      <c r="B34" s="6"/>
      <c r="C34" s="6"/>
      <c r="D34" s="6"/>
    </row>
    <row r="35" spans="1:6" ht="18.75" x14ac:dyDescent="0.3">
      <c r="A35" s="48" t="s">
        <v>66</v>
      </c>
      <c r="B35" s="48"/>
      <c r="C35" s="48"/>
      <c r="D35" s="41"/>
      <c r="E35" s="135">
        <f>IF('Bénéfice de liquidation'!E22='Bénéfice de liquidation'!E41,'Bénéfice de liquidation'!E22,'Bénéfice de liquidation'!E41)</f>
        <v>0</v>
      </c>
      <c r="F35" s="136"/>
    </row>
    <row r="36" spans="1:6" ht="18.75" x14ac:dyDescent="0.3">
      <c r="A36" s="43"/>
      <c r="B36" s="43"/>
      <c r="C36" s="43"/>
      <c r="D36" s="43"/>
    </row>
    <row r="37" spans="1:6" ht="18.75" x14ac:dyDescent="0.3">
      <c r="A37" s="43"/>
      <c r="B37" s="43"/>
      <c r="C37" s="43"/>
      <c r="D37" s="43"/>
    </row>
    <row r="38" spans="1:6" ht="18.75" x14ac:dyDescent="0.3">
      <c r="A38" s="45" t="str">
        <f>IF(C12="","",IF('Bénéfice de liquidation'!E22='Bénéfice de liquidation'!E41,"Pas de rectif de l'année N-1","Attention, année N-1 à rectifier !"))</f>
        <v>Pas de rectif de l'année N-1</v>
      </c>
      <c r="B38" s="43"/>
      <c r="C38" s="43"/>
      <c r="D38" s="43"/>
    </row>
    <row r="39" spans="1:6" ht="18" x14ac:dyDescent="0.25">
      <c r="A39" s="46"/>
      <c r="B39" s="46"/>
      <c r="C39" s="46"/>
      <c r="D39" s="46"/>
    </row>
    <row r="40" spans="1:6" ht="18.75" x14ac:dyDescent="0.3">
      <c r="A40" s="47" t="str">
        <f>IF('Bénéfice de liquidation'!E22='Bénéfice de liquidation'!E41,"",CONCATENATE("Attention, communiquer les bases AVS sur bénéfice avant BL  (CHF ",'Bénéfice de liquidation'!E22,") !"))</f>
        <v/>
      </c>
      <c r="B40" s="46"/>
      <c r="C40" s="46"/>
      <c r="D40" s="46"/>
    </row>
    <row r="41" spans="1:6" ht="18" x14ac:dyDescent="0.25">
      <c r="A41" s="46"/>
      <c r="B41" s="46"/>
      <c r="C41" s="46"/>
      <c r="D41" s="46"/>
    </row>
  </sheetData>
  <sheetProtection algorithmName="SHA-512" hashValue="XU/pSv/6IofjHY0MnuxcqQ4mgSsIYSViHKW7gCzzeTIbqSCbJEukMhISaF+3UvqegEflbUz7bh3hZNY4aWyepg==" saltValue="nnEpfdrgWQifqhzAU7XruA==" spinCount="100000" sheet="1" objects="1" scenarios="1"/>
  <mergeCells count="12">
    <mergeCell ref="E26:F26"/>
    <mergeCell ref="E28:F28"/>
    <mergeCell ref="E35:F35"/>
    <mergeCell ref="A3:C5"/>
    <mergeCell ref="D3:H5"/>
    <mergeCell ref="A8:H8"/>
    <mergeCell ref="G10:H10"/>
    <mergeCell ref="G12:H12"/>
    <mergeCell ref="A19:H19"/>
    <mergeCell ref="A32:H32"/>
    <mergeCell ref="E22:F22"/>
    <mergeCell ref="E24:F24"/>
  </mergeCells>
  <printOptions horizontalCentered="1"/>
  <pageMargins left="0.23622047244094491" right="0.27559055118110237" top="0.31496062992125984" bottom="0.39370078740157483" header="0.31496062992125984" footer="0.15748031496062992"/>
  <pageSetup paperSize="9" scale="98" orientation="portrait" r:id="rId1"/>
  <headerFooter>
    <oddFooter>&amp;L&amp;6Date de révision : 25.04.25&amp;C&amp;6SCCOF732V12&amp;R&amp;6Date de création : 5.1.2012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AM128"/>
  <sheetViews>
    <sheetView zoomScale="85" zoomScaleNormal="85" workbookViewId="0">
      <selection activeCell="A41" sqref="A41:H41"/>
    </sheetView>
  </sheetViews>
  <sheetFormatPr baseColWidth="10" defaultRowHeight="12" x14ac:dyDescent="0.2"/>
  <cols>
    <col min="1" max="9" width="11.42578125" style="52"/>
    <col min="10" max="10" width="7" style="52" customWidth="1"/>
    <col min="11" max="11" width="13.5703125" style="52" customWidth="1"/>
    <col min="12" max="12" width="7.42578125" style="52" customWidth="1"/>
    <col min="13" max="13" width="9.28515625" style="52" customWidth="1"/>
    <col min="14" max="14" width="13.5703125" style="52" customWidth="1"/>
    <col min="15" max="15" width="1.42578125" style="52" customWidth="1"/>
    <col min="16" max="16" width="11.42578125" style="52"/>
    <col min="17" max="39" width="9.140625" style="52" customWidth="1"/>
    <col min="40" max="16384" width="11.42578125" style="52"/>
  </cols>
  <sheetData>
    <row r="1" spans="1:39" ht="15" x14ac:dyDescent="0.2">
      <c r="D1" s="141" t="s">
        <v>87</v>
      </c>
      <c r="E1" s="141"/>
      <c r="F1" s="141" t="s">
        <v>85</v>
      </c>
      <c r="G1" s="141"/>
      <c r="H1" s="141" t="s">
        <v>86</v>
      </c>
      <c r="I1" s="141"/>
      <c r="J1" s="140" t="s">
        <v>76</v>
      </c>
      <c r="K1" s="140"/>
      <c r="L1" s="140"/>
      <c r="M1" s="51"/>
      <c r="N1" s="51"/>
      <c r="P1" s="140" t="s">
        <v>77</v>
      </c>
      <c r="Q1" s="140"/>
      <c r="R1" s="140"/>
      <c r="S1" s="140"/>
      <c r="T1" s="140"/>
      <c r="U1" s="140"/>
      <c r="V1" s="140"/>
      <c r="W1" s="140"/>
      <c r="X1" s="140"/>
      <c r="Y1" s="140"/>
      <c r="Z1" s="140"/>
      <c r="AA1" s="140"/>
      <c r="AB1" s="140"/>
      <c r="AC1" s="140"/>
      <c r="AD1" s="140"/>
      <c r="AE1" s="140"/>
      <c r="AF1" s="140"/>
      <c r="AG1" s="140"/>
      <c r="AH1" s="140"/>
      <c r="AI1" s="140"/>
      <c r="AJ1" s="140"/>
      <c r="AK1" s="140"/>
      <c r="AL1" s="140"/>
      <c r="AM1" s="140"/>
    </row>
    <row r="2" spans="1:39" ht="24" x14ac:dyDescent="0.2">
      <c r="A2" s="54" t="s">
        <v>58</v>
      </c>
      <c r="B2" s="54" t="s">
        <v>4</v>
      </c>
      <c r="C2" s="54" t="s">
        <v>2</v>
      </c>
      <c r="D2" s="54" t="s">
        <v>7</v>
      </c>
      <c r="E2" s="54" t="s">
        <v>41</v>
      </c>
      <c r="F2" s="54" t="s">
        <v>7</v>
      </c>
      <c r="G2" s="54" t="s">
        <v>41</v>
      </c>
      <c r="H2" s="78" t="s">
        <v>7</v>
      </c>
      <c r="I2" s="78" t="s">
        <v>41</v>
      </c>
      <c r="J2" s="53" t="s">
        <v>78</v>
      </c>
      <c r="K2" s="54" t="s">
        <v>83</v>
      </c>
      <c r="L2" s="53" t="s">
        <v>79</v>
      </c>
      <c r="M2" s="54" t="s">
        <v>80</v>
      </c>
      <c r="N2" s="54" t="s">
        <v>84</v>
      </c>
      <c r="P2" s="55"/>
      <c r="Q2" s="56">
        <v>2004</v>
      </c>
      <c r="R2" s="56">
        <v>2005</v>
      </c>
      <c r="S2" s="56">
        <v>2006</v>
      </c>
      <c r="T2" s="56">
        <v>2007</v>
      </c>
      <c r="U2" s="56">
        <v>2008</v>
      </c>
      <c r="V2" s="56">
        <v>2009</v>
      </c>
      <c r="W2" s="56">
        <v>2010</v>
      </c>
      <c r="X2" s="56">
        <v>2011</v>
      </c>
      <c r="Y2" s="56">
        <v>2012</v>
      </c>
      <c r="Z2" s="56">
        <v>2013</v>
      </c>
      <c r="AA2" s="56">
        <v>2014</v>
      </c>
      <c r="AB2" s="56">
        <v>2015</v>
      </c>
      <c r="AC2" s="56">
        <v>2016</v>
      </c>
      <c r="AD2" s="56">
        <v>2017</v>
      </c>
      <c r="AE2" s="56">
        <v>2018</v>
      </c>
      <c r="AF2" s="56">
        <v>2019</v>
      </c>
      <c r="AG2" s="56">
        <v>2020</v>
      </c>
      <c r="AH2" s="56">
        <v>2021</v>
      </c>
      <c r="AI2" s="56">
        <v>2022</v>
      </c>
      <c r="AJ2" s="56">
        <v>2023</v>
      </c>
      <c r="AK2" s="56">
        <v>2024</v>
      </c>
      <c r="AL2" s="56">
        <v>2025</v>
      </c>
      <c r="AM2" s="56">
        <v>2026</v>
      </c>
    </row>
    <row r="3" spans="1:39" x14ac:dyDescent="0.2">
      <c r="A3" s="57" t="s">
        <v>41</v>
      </c>
      <c r="B3" s="57">
        <v>1941</v>
      </c>
      <c r="C3" s="57">
        <v>2014</v>
      </c>
      <c r="D3" s="57">
        <v>40</v>
      </c>
      <c r="E3" s="57">
        <v>39</v>
      </c>
      <c r="F3" s="57">
        <v>70</v>
      </c>
      <c r="G3" s="57">
        <v>69</v>
      </c>
      <c r="H3" s="57">
        <v>65</v>
      </c>
      <c r="I3" s="57">
        <v>64</v>
      </c>
      <c r="J3" s="57">
        <v>2004</v>
      </c>
      <c r="K3" s="76"/>
      <c r="L3" s="58">
        <v>2.2499999999999999E-2</v>
      </c>
      <c r="M3" s="59">
        <v>6077</v>
      </c>
      <c r="N3" s="59"/>
      <c r="P3" s="60">
        <v>1962</v>
      </c>
      <c r="Q3" s="61">
        <v>130931</v>
      </c>
      <c r="R3" s="61">
        <v>140397</v>
      </c>
      <c r="S3" s="61">
        <v>150099</v>
      </c>
      <c r="T3" s="61">
        <v>160216</v>
      </c>
      <c r="U3" s="61">
        <v>170987</v>
      </c>
      <c r="V3" s="61">
        <v>180973</v>
      </c>
      <c r="W3" s="61">
        <v>191158</v>
      </c>
      <c r="X3" s="61">
        <v>201663</v>
      </c>
      <c r="Y3" s="61">
        <v>211370</v>
      </c>
      <c r="Z3" s="61">
        <v>221280</v>
      </c>
      <c r="AA3" s="61">
        <v>231891</v>
      </c>
      <c r="AB3" s="61">
        <v>242717</v>
      </c>
      <c r="AC3" s="61">
        <v>252519</v>
      </c>
      <c r="AD3" s="62">
        <v>261813</v>
      </c>
      <c r="AE3" s="62">
        <v>271199</v>
      </c>
      <c r="AF3" s="62">
        <v>280737</v>
      </c>
      <c r="AG3" s="62">
        <v>290370</v>
      </c>
      <c r="AH3" s="62">
        <v>300157</v>
      </c>
      <c r="AI3" s="62">
        <v>310042</v>
      </c>
      <c r="AJ3" s="62">
        <v>320198</v>
      </c>
      <c r="AK3" s="62">
        <v>331257</v>
      </c>
      <c r="AL3" s="62">
        <v>342655</v>
      </c>
      <c r="AM3" s="62">
        <v>354196</v>
      </c>
    </row>
    <row r="4" spans="1:39" x14ac:dyDescent="0.2">
      <c r="A4" s="57" t="s">
        <v>7</v>
      </c>
      <c r="B4" s="57">
        <f>B3+1</f>
        <v>1942</v>
      </c>
      <c r="C4" s="57">
        <f>C3+1</f>
        <v>2015</v>
      </c>
      <c r="D4" s="57">
        <v>40</v>
      </c>
      <c r="E4" s="57">
        <v>39</v>
      </c>
      <c r="F4" s="57">
        <v>70</v>
      </c>
      <c r="G4" s="57">
        <v>69</v>
      </c>
      <c r="H4" s="57">
        <v>65</v>
      </c>
      <c r="I4" s="57">
        <v>64</v>
      </c>
      <c r="J4" s="57">
        <f>J3+1</f>
        <v>2005</v>
      </c>
      <c r="K4" s="76"/>
      <c r="L4" s="58">
        <v>2.5000000000000001E-2</v>
      </c>
      <c r="M4" s="59">
        <v>6192</v>
      </c>
      <c r="N4" s="59"/>
      <c r="P4" s="60">
        <v>1963</v>
      </c>
      <c r="Q4" s="61">
        <v>123047</v>
      </c>
      <c r="R4" s="61">
        <v>132315</v>
      </c>
      <c r="S4" s="61">
        <v>141815</v>
      </c>
      <c r="T4" s="61">
        <v>151725</v>
      </c>
      <c r="U4" s="61">
        <v>162263</v>
      </c>
      <c r="V4" s="61">
        <v>172074</v>
      </c>
      <c r="W4" s="61">
        <v>182081</v>
      </c>
      <c r="X4" s="61">
        <v>192405</v>
      </c>
      <c r="Y4" s="61">
        <v>201973</v>
      </c>
      <c r="Z4" s="61">
        <v>211742</v>
      </c>
      <c r="AA4" s="61">
        <v>222186</v>
      </c>
      <c r="AB4" s="61">
        <v>232842</v>
      </c>
      <c r="AC4" s="61">
        <v>242521</v>
      </c>
      <c r="AD4" s="62">
        <v>251714</v>
      </c>
      <c r="AE4" s="62">
        <v>260999</v>
      </c>
      <c r="AF4" s="62">
        <v>270435</v>
      </c>
      <c r="AG4" s="62">
        <v>279966</v>
      </c>
      <c r="AH4" s="62">
        <v>289648</v>
      </c>
      <c r="AI4" s="62">
        <v>299428</v>
      </c>
      <c r="AJ4" s="62">
        <v>309478</v>
      </c>
      <c r="AK4" s="62">
        <v>320403</v>
      </c>
      <c r="AL4" s="62">
        <v>331665</v>
      </c>
      <c r="AM4" s="62">
        <v>343069</v>
      </c>
    </row>
    <row r="5" spans="1:39" x14ac:dyDescent="0.2">
      <c r="A5" s="57"/>
      <c r="B5" s="57">
        <f t="shared" ref="B5:B18" si="0">B4+1</f>
        <v>1943</v>
      </c>
      <c r="C5" s="57">
        <f t="shared" ref="C5:C15" si="1">C4+1</f>
        <v>2016</v>
      </c>
      <c r="D5" s="57">
        <v>40</v>
      </c>
      <c r="E5" s="57">
        <v>39</v>
      </c>
      <c r="F5" s="57">
        <v>70</v>
      </c>
      <c r="G5" s="57">
        <v>69</v>
      </c>
      <c r="H5" s="57">
        <v>65</v>
      </c>
      <c r="I5" s="57">
        <v>64</v>
      </c>
      <c r="J5" s="57">
        <f t="shared" ref="J5:J25" si="2">J4+1</f>
        <v>2006</v>
      </c>
      <c r="K5" s="76"/>
      <c r="L5" s="58">
        <v>2.5000000000000001E-2</v>
      </c>
      <c r="M5" s="59">
        <v>6192</v>
      </c>
      <c r="N5" s="59"/>
      <c r="P5" s="60">
        <f>P4+1</f>
        <v>1964</v>
      </c>
      <c r="Q5" s="61">
        <v>115149</v>
      </c>
      <c r="R5" s="61">
        <v>124220</v>
      </c>
      <c r="S5" s="61">
        <v>133517</v>
      </c>
      <c r="T5" s="61">
        <v>143220</v>
      </c>
      <c r="U5" s="61">
        <v>153524</v>
      </c>
      <c r="V5" s="61">
        <v>163160</v>
      </c>
      <c r="W5" s="61">
        <v>172989</v>
      </c>
      <c r="X5" s="61">
        <v>183131</v>
      </c>
      <c r="Y5" s="61">
        <v>192560</v>
      </c>
      <c r="Z5" s="61">
        <v>202187</v>
      </c>
      <c r="AA5" s="61">
        <v>212465</v>
      </c>
      <c r="AB5" s="61">
        <v>222951</v>
      </c>
      <c r="AC5" s="61">
        <v>232506</v>
      </c>
      <c r="AD5" s="62">
        <v>241599</v>
      </c>
      <c r="AE5" s="62">
        <v>250783</v>
      </c>
      <c r="AF5" s="62">
        <v>260117</v>
      </c>
      <c r="AG5" s="62">
        <v>269544</v>
      </c>
      <c r="AH5" s="62">
        <v>279122</v>
      </c>
      <c r="AI5" s="62">
        <v>288797</v>
      </c>
      <c r="AJ5" s="62">
        <v>298741</v>
      </c>
      <c r="AK5" s="62">
        <v>309531</v>
      </c>
      <c r="AL5" s="62">
        <v>320658</v>
      </c>
      <c r="AM5" s="62">
        <v>331924</v>
      </c>
    </row>
    <row r="6" spans="1:39" x14ac:dyDescent="0.2">
      <c r="A6" s="57"/>
      <c r="B6" s="57">
        <f t="shared" si="0"/>
        <v>1944</v>
      </c>
      <c r="C6" s="57">
        <f t="shared" si="1"/>
        <v>2017</v>
      </c>
      <c r="D6" s="57">
        <v>40</v>
      </c>
      <c r="E6" s="57">
        <v>39</v>
      </c>
      <c r="F6" s="57">
        <v>70</v>
      </c>
      <c r="G6" s="57">
        <v>69</v>
      </c>
      <c r="H6" s="57">
        <v>65</v>
      </c>
      <c r="I6" s="57">
        <v>64</v>
      </c>
      <c r="J6" s="57">
        <f t="shared" si="2"/>
        <v>2007</v>
      </c>
      <c r="K6" s="76"/>
      <c r="L6" s="58">
        <v>2.5000000000000001E-2</v>
      </c>
      <c r="M6" s="59">
        <v>6365</v>
      </c>
      <c r="N6" s="59"/>
      <c r="P6" s="60">
        <f t="shared" ref="P6:P42" si="3">P5+1</f>
        <v>1965</v>
      </c>
      <c r="Q6" s="61">
        <v>107555</v>
      </c>
      <c r="R6" s="61">
        <v>116436</v>
      </c>
      <c r="S6" s="61">
        <v>125539</v>
      </c>
      <c r="T6" s="61">
        <v>135042</v>
      </c>
      <c r="U6" s="61">
        <v>145121</v>
      </c>
      <c r="V6" s="61">
        <v>154589</v>
      </c>
      <c r="W6" s="61">
        <v>164247</v>
      </c>
      <c r="X6" s="61">
        <v>174214</v>
      </c>
      <c r="Y6" s="61">
        <v>183509</v>
      </c>
      <c r="Z6" s="61">
        <v>193001</v>
      </c>
      <c r="AA6" s="61">
        <v>203117</v>
      </c>
      <c r="AB6" s="61">
        <v>213440</v>
      </c>
      <c r="AC6" s="61">
        <v>222876</v>
      </c>
      <c r="AD6" s="62">
        <v>231873</v>
      </c>
      <c r="AE6" s="62">
        <v>240959</v>
      </c>
      <c r="AF6" s="62">
        <v>250195</v>
      </c>
      <c r="AG6" s="62">
        <v>259523</v>
      </c>
      <c r="AH6" s="62">
        <v>269001</v>
      </c>
      <c r="AI6" s="62">
        <v>278575</v>
      </c>
      <c r="AJ6" s="62">
        <v>288416</v>
      </c>
      <c r="AK6" s="62">
        <v>299078</v>
      </c>
      <c r="AL6" s="62">
        <v>310074</v>
      </c>
      <c r="AM6" s="62">
        <v>321207</v>
      </c>
    </row>
    <row r="7" spans="1:39" x14ac:dyDescent="0.2">
      <c r="A7" s="57"/>
      <c r="B7" s="57">
        <f t="shared" si="0"/>
        <v>1945</v>
      </c>
      <c r="C7" s="57">
        <f t="shared" si="1"/>
        <v>2018</v>
      </c>
      <c r="D7" s="57">
        <v>40</v>
      </c>
      <c r="E7" s="57">
        <v>39</v>
      </c>
      <c r="F7" s="57">
        <v>70</v>
      </c>
      <c r="G7" s="57">
        <v>69</v>
      </c>
      <c r="H7" s="57">
        <v>65</v>
      </c>
      <c r="I7" s="57">
        <v>64</v>
      </c>
      <c r="J7" s="57">
        <f t="shared" si="2"/>
        <v>2008</v>
      </c>
      <c r="K7" s="76"/>
      <c r="L7" s="58">
        <v>2.75E-2</v>
      </c>
      <c r="M7" s="59">
        <v>6365</v>
      </c>
      <c r="N7" s="59"/>
      <c r="P7" s="60">
        <f t="shared" si="3"/>
        <v>1966</v>
      </c>
      <c r="Q7" s="61">
        <v>99766</v>
      </c>
      <c r="R7" s="61">
        <v>108452</v>
      </c>
      <c r="S7" s="61">
        <v>117356</v>
      </c>
      <c r="T7" s="61">
        <v>126655</v>
      </c>
      <c r="U7" s="61">
        <v>136503</v>
      </c>
      <c r="V7" s="61">
        <v>145799</v>
      </c>
      <c r="W7" s="61">
        <v>155281</v>
      </c>
      <c r="X7" s="61">
        <v>165068</v>
      </c>
      <c r="Y7" s="61">
        <v>174226</v>
      </c>
      <c r="Z7" s="61">
        <v>183579</v>
      </c>
      <c r="AA7" s="61">
        <v>193530</v>
      </c>
      <c r="AB7" s="61">
        <v>203685</v>
      </c>
      <c r="AC7" s="61">
        <v>212999</v>
      </c>
      <c r="AD7" s="62">
        <v>221897</v>
      </c>
      <c r="AE7" s="62">
        <v>230884</v>
      </c>
      <c r="AF7" s="62">
        <v>240019</v>
      </c>
      <c r="AG7" s="62">
        <v>249245</v>
      </c>
      <c r="AH7" s="62">
        <v>258621</v>
      </c>
      <c r="AI7" s="62">
        <v>268090</v>
      </c>
      <c r="AJ7" s="62">
        <v>277827</v>
      </c>
      <c r="AK7" s="62">
        <v>288356</v>
      </c>
      <c r="AL7" s="62">
        <v>299218</v>
      </c>
      <c r="AM7" s="62">
        <v>310216</v>
      </c>
    </row>
    <row r="8" spans="1:39" x14ac:dyDescent="0.2">
      <c r="A8" s="57"/>
      <c r="B8" s="57">
        <f t="shared" si="0"/>
        <v>1946</v>
      </c>
      <c r="C8" s="57">
        <f t="shared" si="1"/>
        <v>2019</v>
      </c>
      <c r="D8" s="57">
        <v>40</v>
      </c>
      <c r="E8" s="57">
        <v>39</v>
      </c>
      <c r="F8" s="57">
        <v>70</v>
      </c>
      <c r="G8" s="57">
        <v>69</v>
      </c>
      <c r="H8" s="57">
        <v>65</v>
      </c>
      <c r="I8" s="57">
        <v>64</v>
      </c>
      <c r="J8" s="57">
        <f t="shared" si="2"/>
        <v>2009</v>
      </c>
      <c r="K8" s="76"/>
      <c r="L8" s="58">
        <v>0.02</v>
      </c>
      <c r="M8" s="59">
        <v>6566</v>
      </c>
      <c r="N8" s="59"/>
      <c r="P8" s="60">
        <f t="shared" si="3"/>
        <v>1967</v>
      </c>
      <c r="Q8" s="61">
        <v>92277</v>
      </c>
      <c r="R8" s="61">
        <v>100776</v>
      </c>
      <c r="S8" s="61">
        <v>109487</v>
      </c>
      <c r="T8" s="61">
        <v>118590</v>
      </c>
      <c r="U8" s="61">
        <v>128216</v>
      </c>
      <c r="V8" s="61">
        <v>137346</v>
      </c>
      <c r="W8" s="61">
        <v>146659</v>
      </c>
      <c r="X8" s="61">
        <v>156274</v>
      </c>
      <c r="Y8" s="61">
        <v>165300</v>
      </c>
      <c r="Z8" s="61">
        <v>174519</v>
      </c>
      <c r="AA8" s="61">
        <v>184312</v>
      </c>
      <c r="AB8" s="61">
        <v>194305</v>
      </c>
      <c r="AC8" s="61">
        <v>203502</v>
      </c>
      <c r="AD8" s="62">
        <v>212305</v>
      </c>
      <c r="AE8" s="62">
        <v>221196</v>
      </c>
      <c r="AF8" s="62">
        <v>230234</v>
      </c>
      <c r="AG8" s="62">
        <v>239363</v>
      </c>
      <c r="AH8" s="62">
        <v>248639</v>
      </c>
      <c r="AI8" s="62">
        <v>258009</v>
      </c>
      <c r="AJ8" s="62">
        <v>267645</v>
      </c>
      <c r="AK8" s="62">
        <v>278047</v>
      </c>
      <c r="AL8" s="62">
        <v>288780</v>
      </c>
      <c r="AM8" s="62">
        <v>299648</v>
      </c>
    </row>
    <row r="9" spans="1:39" x14ac:dyDescent="0.2">
      <c r="A9" s="57"/>
      <c r="B9" s="57">
        <f t="shared" si="0"/>
        <v>1947</v>
      </c>
      <c r="C9" s="57">
        <f t="shared" si="1"/>
        <v>2020</v>
      </c>
      <c r="D9" s="57">
        <v>40</v>
      </c>
      <c r="E9" s="57">
        <v>39</v>
      </c>
      <c r="F9" s="57">
        <v>70</v>
      </c>
      <c r="G9" s="57">
        <v>69</v>
      </c>
      <c r="H9" s="57">
        <v>65</v>
      </c>
      <c r="I9" s="57">
        <v>64</v>
      </c>
      <c r="J9" s="57">
        <f t="shared" si="2"/>
        <v>2010</v>
      </c>
      <c r="K9" s="76"/>
      <c r="L9" s="58">
        <v>0.02</v>
      </c>
      <c r="M9" s="59">
        <v>6566</v>
      </c>
      <c r="N9" s="59"/>
      <c r="P9" s="60">
        <f t="shared" si="3"/>
        <v>1968</v>
      </c>
      <c r="Q9" s="61">
        <v>84176</v>
      </c>
      <c r="R9" s="61">
        <v>92472</v>
      </c>
      <c r="S9" s="61">
        <v>100976</v>
      </c>
      <c r="T9" s="61">
        <v>109865</v>
      </c>
      <c r="U9" s="61">
        <v>119252</v>
      </c>
      <c r="V9" s="61">
        <v>128203</v>
      </c>
      <c r="W9" s="61">
        <v>137333</v>
      </c>
      <c r="X9" s="61">
        <v>146761</v>
      </c>
      <c r="Y9" s="61">
        <v>155645</v>
      </c>
      <c r="Z9" s="61">
        <v>164719</v>
      </c>
      <c r="AA9" s="61">
        <v>174340</v>
      </c>
      <c r="AB9" s="61">
        <v>184159</v>
      </c>
      <c r="AC9" s="61">
        <v>193229</v>
      </c>
      <c r="AD9" s="62">
        <v>201929</v>
      </c>
      <c r="AE9" s="62">
        <v>210717</v>
      </c>
      <c r="AF9" s="62">
        <v>219650</v>
      </c>
      <c r="AG9" s="62">
        <v>228672</v>
      </c>
      <c r="AH9" s="62">
        <v>237842</v>
      </c>
      <c r="AI9" s="62">
        <v>247104</v>
      </c>
      <c r="AJ9" s="62">
        <v>256631</v>
      </c>
      <c r="AK9" s="62">
        <v>266895</v>
      </c>
      <c r="AL9" s="62">
        <v>277489</v>
      </c>
      <c r="AM9" s="62">
        <v>288215</v>
      </c>
    </row>
    <row r="10" spans="1:39" x14ac:dyDescent="0.2">
      <c r="A10" s="57"/>
      <c r="B10" s="57">
        <f t="shared" si="0"/>
        <v>1948</v>
      </c>
      <c r="C10" s="57">
        <f t="shared" si="1"/>
        <v>2021</v>
      </c>
      <c r="D10" s="57">
        <v>40</v>
      </c>
      <c r="E10" s="57">
        <v>39</v>
      </c>
      <c r="F10" s="57">
        <v>70</v>
      </c>
      <c r="G10" s="57">
        <v>69</v>
      </c>
      <c r="H10" s="57">
        <v>65</v>
      </c>
      <c r="I10" s="57">
        <v>64</v>
      </c>
      <c r="J10" s="57">
        <f t="shared" si="2"/>
        <v>2011</v>
      </c>
      <c r="K10" s="76"/>
      <c r="L10" s="58">
        <v>0.02</v>
      </c>
      <c r="M10" s="59">
        <v>6682</v>
      </c>
      <c r="N10" s="59"/>
      <c r="P10" s="60">
        <f t="shared" si="3"/>
        <v>1969</v>
      </c>
      <c r="Q10" s="61">
        <v>76041</v>
      </c>
      <c r="R10" s="61">
        <v>84134</v>
      </c>
      <c r="S10" s="61">
        <v>92429</v>
      </c>
      <c r="T10" s="61">
        <v>101105</v>
      </c>
      <c r="U10" s="61">
        <v>110250</v>
      </c>
      <c r="V10" s="61">
        <v>119021</v>
      </c>
      <c r="W10" s="61">
        <v>127967</v>
      </c>
      <c r="X10" s="61">
        <v>137209</v>
      </c>
      <c r="Y10" s="61">
        <v>145949</v>
      </c>
      <c r="Z10" s="61">
        <v>154877</v>
      </c>
      <c r="AA10" s="61">
        <v>164326</v>
      </c>
      <c r="AB10" s="61">
        <v>173970</v>
      </c>
      <c r="AC10" s="61">
        <v>182913</v>
      </c>
      <c r="AD10" s="62">
        <v>191510</v>
      </c>
      <c r="AE10" s="62">
        <v>200193</v>
      </c>
      <c r="AF10" s="62">
        <v>209021</v>
      </c>
      <c r="AG10" s="62">
        <v>217937</v>
      </c>
      <c r="AH10" s="62">
        <v>227000</v>
      </c>
      <c r="AI10" s="62">
        <v>236153</v>
      </c>
      <c r="AJ10" s="62">
        <v>245571</v>
      </c>
      <c r="AK10" s="62">
        <v>255696</v>
      </c>
      <c r="AL10" s="62">
        <v>266150</v>
      </c>
      <c r="AM10" s="62">
        <v>276735</v>
      </c>
    </row>
    <row r="11" spans="1:39" x14ac:dyDescent="0.2">
      <c r="A11" s="57"/>
      <c r="B11" s="57">
        <f t="shared" si="0"/>
        <v>1949</v>
      </c>
      <c r="C11" s="57">
        <f t="shared" si="1"/>
        <v>2022</v>
      </c>
      <c r="D11" s="57">
        <v>40</v>
      </c>
      <c r="E11" s="57">
        <v>39</v>
      </c>
      <c r="F11" s="57">
        <v>70</v>
      </c>
      <c r="G11" s="57">
        <v>69</v>
      </c>
      <c r="H11" s="57">
        <v>65</v>
      </c>
      <c r="I11" s="57">
        <v>64</v>
      </c>
      <c r="J11" s="57">
        <f t="shared" si="2"/>
        <v>2012</v>
      </c>
      <c r="K11" s="76">
        <v>83520</v>
      </c>
      <c r="L11" s="58">
        <v>1.4999999999999999E-2</v>
      </c>
      <c r="M11" s="59">
        <v>6682</v>
      </c>
      <c r="N11" s="77">
        <v>0.15</v>
      </c>
      <c r="P11" s="60">
        <f t="shared" si="3"/>
        <v>1970</v>
      </c>
      <c r="Q11" s="61">
        <v>68218</v>
      </c>
      <c r="R11" s="61">
        <v>76116</v>
      </c>
      <c r="S11" s="61">
        <v>84211</v>
      </c>
      <c r="T11" s="61">
        <v>92681</v>
      </c>
      <c r="U11" s="61">
        <v>101595</v>
      </c>
      <c r="V11" s="61">
        <v>110192</v>
      </c>
      <c r="W11" s="61">
        <v>118962</v>
      </c>
      <c r="X11" s="61">
        <v>128024</v>
      </c>
      <c r="Y11" s="61">
        <v>136626</v>
      </c>
      <c r="Z11" s="61">
        <v>145414</v>
      </c>
      <c r="AA11" s="61">
        <v>154698</v>
      </c>
      <c r="AB11" s="61">
        <v>164173</v>
      </c>
      <c r="AC11" s="61">
        <v>172993</v>
      </c>
      <c r="AD11" s="62">
        <v>181491</v>
      </c>
      <c r="AE11" s="62">
        <v>190074</v>
      </c>
      <c r="AF11" s="62">
        <v>198801</v>
      </c>
      <c r="AG11" s="62">
        <v>207615</v>
      </c>
      <c r="AH11" s="62">
        <v>216574</v>
      </c>
      <c r="AI11" s="62">
        <v>225623</v>
      </c>
      <c r="AJ11" s="62">
        <v>234935</v>
      </c>
      <c r="AK11" s="62">
        <v>244928</v>
      </c>
      <c r="AL11" s="62">
        <v>255247</v>
      </c>
      <c r="AM11" s="62">
        <v>265696</v>
      </c>
    </row>
    <row r="12" spans="1:39" x14ac:dyDescent="0.2">
      <c r="A12" s="57"/>
      <c r="B12" s="57">
        <f t="shared" si="0"/>
        <v>1950</v>
      </c>
      <c r="C12" s="57">
        <f t="shared" si="1"/>
        <v>2023</v>
      </c>
      <c r="D12" s="57">
        <v>40</v>
      </c>
      <c r="E12" s="57">
        <v>39</v>
      </c>
      <c r="F12" s="57">
        <v>70</v>
      </c>
      <c r="G12" s="57">
        <v>69</v>
      </c>
      <c r="H12" s="57">
        <v>65</v>
      </c>
      <c r="I12" s="57">
        <v>64</v>
      </c>
      <c r="J12" s="57">
        <f t="shared" si="2"/>
        <v>2013</v>
      </c>
      <c r="K12" s="76">
        <v>84240</v>
      </c>
      <c r="L12" s="58">
        <v>1.4999999999999999E-2</v>
      </c>
      <c r="M12" s="59">
        <v>6739</v>
      </c>
      <c r="N12" s="77">
        <v>0.15</v>
      </c>
      <c r="P12" s="60">
        <f t="shared" si="3"/>
        <v>1971</v>
      </c>
      <c r="Q12" s="61">
        <v>60456</v>
      </c>
      <c r="R12" s="61">
        <v>68160</v>
      </c>
      <c r="S12" s="61">
        <v>76056</v>
      </c>
      <c r="T12" s="61">
        <v>84322</v>
      </c>
      <c r="U12" s="61">
        <v>93006</v>
      </c>
      <c r="V12" s="61">
        <v>101432</v>
      </c>
      <c r="W12" s="61">
        <v>110027</v>
      </c>
      <c r="X12" s="61">
        <v>118909</v>
      </c>
      <c r="Y12" s="61">
        <v>127375</v>
      </c>
      <c r="Z12" s="61">
        <v>136025</v>
      </c>
      <c r="AA12" s="61">
        <v>145144</v>
      </c>
      <c r="AB12" s="61">
        <v>154452</v>
      </c>
      <c r="AC12" s="61">
        <v>163151</v>
      </c>
      <c r="AD12" s="62">
        <v>171550</v>
      </c>
      <c r="AE12" s="62">
        <v>180034</v>
      </c>
      <c r="AF12" s="62">
        <v>188660</v>
      </c>
      <c r="AG12" s="62">
        <v>197373</v>
      </c>
      <c r="AH12" s="62">
        <v>206230</v>
      </c>
      <c r="AI12" s="62">
        <v>215175</v>
      </c>
      <c r="AJ12" s="62">
        <v>224383</v>
      </c>
      <c r="AK12" s="62">
        <v>234244</v>
      </c>
      <c r="AL12" s="62">
        <v>244429</v>
      </c>
      <c r="AM12" s="62">
        <v>254743</v>
      </c>
    </row>
    <row r="13" spans="1:39" x14ac:dyDescent="0.2">
      <c r="A13" s="57"/>
      <c r="B13" s="57">
        <f t="shared" si="0"/>
        <v>1951</v>
      </c>
      <c r="C13" s="57">
        <f t="shared" si="1"/>
        <v>2024</v>
      </c>
      <c r="D13" s="57">
        <v>40</v>
      </c>
      <c r="E13" s="57">
        <v>39</v>
      </c>
      <c r="F13" s="57">
        <v>70</v>
      </c>
      <c r="G13" s="57">
        <v>69</v>
      </c>
      <c r="H13" s="57">
        <v>65</v>
      </c>
      <c r="I13" s="57">
        <v>64</v>
      </c>
      <c r="J13" s="57">
        <f t="shared" si="2"/>
        <v>2014</v>
      </c>
      <c r="K13" s="76">
        <v>84240</v>
      </c>
      <c r="L13" s="58">
        <v>1.7500000000000002E-2</v>
      </c>
      <c r="M13" s="59">
        <v>6739</v>
      </c>
      <c r="N13" s="77">
        <v>0.15</v>
      </c>
      <c r="P13" s="60">
        <f t="shared" si="3"/>
        <v>1972</v>
      </c>
      <c r="Q13" s="61">
        <v>52993</v>
      </c>
      <c r="R13" s="61">
        <v>60510</v>
      </c>
      <c r="S13" s="61">
        <v>68215</v>
      </c>
      <c r="T13" s="61">
        <v>76285</v>
      </c>
      <c r="U13" s="61">
        <v>84748</v>
      </c>
      <c r="V13" s="61">
        <v>93009</v>
      </c>
      <c r="W13" s="61">
        <v>101435</v>
      </c>
      <c r="X13" s="61">
        <v>110146</v>
      </c>
      <c r="Y13" s="61">
        <v>118480</v>
      </c>
      <c r="Z13" s="61">
        <v>126996</v>
      </c>
      <c r="AA13" s="61">
        <v>135957</v>
      </c>
      <c r="AB13" s="61">
        <v>145105</v>
      </c>
      <c r="AC13" s="61">
        <v>153686</v>
      </c>
      <c r="AD13" s="62">
        <v>161991</v>
      </c>
      <c r="AE13" s="62">
        <v>170379</v>
      </c>
      <c r="AF13" s="62">
        <v>178909</v>
      </c>
      <c r="AG13" s="62">
        <v>187524</v>
      </c>
      <c r="AH13" s="62">
        <v>196283</v>
      </c>
      <c r="AI13" s="62">
        <v>205129</v>
      </c>
      <c r="AJ13" s="62">
        <v>214236</v>
      </c>
      <c r="AK13" s="62">
        <v>223970</v>
      </c>
      <c r="AL13" s="62">
        <v>234027</v>
      </c>
      <c r="AM13" s="62">
        <v>244210</v>
      </c>
    </row>
    <row r="14" spans="1:39" x14ac:dyDescent="0.2">
      <c r="A14" s="57"/>
      <c r="B14" s="57">
        <f t="shared" si="0"/>
        <v>1952</v>
      </c>
      <c r="C14" s="57">
        <f t="shared" si="1"/>
        <v>2025</v>
      </c>
      <c r="D14" s="57">
        <v>40</v>
      </c>
      <c r="E14" s="57">
        <v>39</v>
      </c>
      <c r="F14" s="57">
        <v>70</v>
      </c>
      <c r="G14" s="57">
        <v>69</v>
      </c>
      <c r="H14" s="57">
        <v>65</v>
      </c>
      <c r="I14" s="57">
        <v>64</v>
      </c>
      <c r="J14" s="57">
        <f t="shared" si="2"/>
        <v>2015</v>
      </c>
      <c r="K14" s="76">
        <v>84600</v>
      </c>
      <c r="L14" s="58">
        <v>1.7500000000000002E-2</v>
      </c>
      <c r="M14" s="59">
        <v>6768</v>
      </c>
      <c r="N14" s="77">
        <v>0.15</v>
      </c>
      <c r="P14" s="60">
        <f t="shared" si="3"/>
        <v>1973</v>
      </c>
      <c r="Q14" s="61">
        <v>45632</v>
      </c>
      <c r="R14" s="61">
        <v>52965</v>
      </c>
      <c r="S14" s="61">
        <v>60481</v>
      </c>
      <c r="T14" s="61">
        <v>68358</v>
      </c>
      <c r="U14" s="61">
        <v>76603</v>
      </c>
      <c r="V14" s="61">
        <v>84701</v>
      </c>
      <c r="W14" s="61">
        <v>92961</v>
      </c>
      <c r="X14" s="61">
        <v>101502</v>
      </c>
      <c r="Y14" s="61">
        <v>109706</v>
      </c>
      <c r="Z14" s="61">
        <v>118091</v>
      </c>
      <c r="AA14" s="61">
        <v>126897</v>
      </c>
      <c r="AB14" s="61">
        <v>135885</v>
      </c>
      <c r="AC14" s="61">
        <v>144352</v>
      </c>
      <c r="AD14" s="62">
        <v>152563</v>
      </c>
      <c r="AE14" s="62">
        <v>160857</v>
      </c>
      <c r="AF14" s="62">
        <v>169292</v>
      </c>
      <c r="AG14" s="62">
        <v>177810</v>
      </c>
      <c r="AH14" s="62">
        <v>186472</v>
      </c>
      <c r="AI14" s="62">
        <v>195220</v>
      </c>
      <c r="AJ14" s="62">
        <v>204228</v>
      </c>
      <c r="AK14" s="62">
        <v>213837</v>
      </c>
      <c r="AL14" s="62">
        <v>223767</v>
      </c>
      <c r="AM14" s="62">
        <v>233822</v>
      </c>
    </row>
    <row r="15" spans="1:39" x14ac:dyDescent="0.2">
      <c r="B15" s="57">
        <f t="shared" si="0"/>
        <v>1953</v>
      </c>
      <c r="C15" s="57">
        <f t="shared" si="1"/>
        <v>2026</v>
      </c>
      <c r="D15" s="57">
        <v>40</v>
      </c>
      <c r="E15" s="57">
        <v>39</v>
      </c>
      <c r="F15" s="57">
        <v>70</v>
      </c>
      <c r="G15" s="57">
        <v>69</v>
      </c>
      <c r="H15" s="57">
        <v>65</v>
      </c>
      <c r="I15" s="57">
        <v>64</v>
      </c>
      <c r="J15" s="57">
        <f t="shared" si="2"/>
        <v>2016</v>
      </c>
      <c r="K15" s="76">
        <v>84600</v>
      </c>
      <c r="L15" s="58">
        <v>1.2500000000000001E-2</v>
      </c>
      <c r="M15" s="59">
        <v>6768</v>
      </c>
      <c r="N15" s="77">
        <v>0.15</v>
      </c>
      <c r="P15" s="60">
        <f t="shared" si="3"/>
        <v>1974</v>
      </c>
      <c r="Q15" s="61">
        <v>38554</v>
      </c>
      <c r="R15" s="61">
        <v>45710</v>
      </c>
      <c r="S15" s="61">
        <v>53044</v>
      </c>
      <c r="T15" s="61">
        <v>60735</v>
      </c>
      <c r="U15" s="61">
        <v>68771</v>
      </c>
      <c r="V15" s="61">
        <v>76712</v>
      </c>
      <c r="W15" s="61">
        <v>84812</v>
      </c>
      <c r="X15" s="61">
        <v>93190</v>
      </c>
      <c r="Y15" s="61">
        <v>101270</v>
      </c>
      <c r="Z15" s="61">
        <v>109528</v>
      </c>
      <c r="AA15" s="61">
        <v>118184</v>
      </c>
      <c r="AB15" s="61">
        <v>127020</v>
      </c>
      <c r="AC15" s="61">
        <v>135376</v>
      </c>
      <c r="AD15" s="62">
        <v>143498</v>
      </c>
      <c r="AE15" s="62">
        <v>151701</v>
      </c>
      <c r="AF15" s="62">
        <v>160044</v>
      </c>
      <c r="AG15" s="62">
        <v>168470</v>
      </c>
      <c r="AH15" s="62">
        <v>177038</v>
      </c>
      <c r="AI15" s="62">
        <v>185692</v>
      </c>
      <c r="AJ15" s="62">
        <v>194605</v>
      </c>
      <c r="AK15" s="62">
        <v>204093</v>
      </c>
      <c r="AL15" s="62">
        <v>213902</v>
      </c>
      <c r="AM15" s="62">
        <v>223834</v>
      </c>
    </row>
    <row r="16" spans="1:39" ht="12.75" x14ac:dyDescent="0.2">
      <c r="B16" s="57">
        <f t="shared" si="0"/>
        <v>1954</v>
      </c>
      <c r="D16"/>
      <c r="E16"/>
      <c r="F16"/>
      <c r="G16"/>
      <c r="H16"/>
      <c r="I16"/>
      <c r="J16" s="57">
        <f t="shared" si="2"/>
        <v>2017</v>
      </c>
      <c r="K16" s="76">
        <v>84600</v>
      </c>
      <c r="L16" s="58">
        <v>0.01</v>
      </c>
      <c r="M16" s="59">
        <v>6768</v>
      </c>
      <c r="N16" s="77">
        <v>0.15</v>
      </c>
      <c r="P16" s="60">
        <f t="shared" si="3"/>
        <v>1975</v>
      </c>
      <c r="Q16" s="61">
        <v>31679</v>
      </c>
      <c r="R16" s="61">
        <v>38663</v>
      </c>
      <c r="S16" s="61">
        <v>45821</v>
      </c>
      <c r="T16" s="61">
        <v>53332</v>
      </c>
      <c r="U16" s="61">
        <v>61164</v>
      </c>
      <c r="V16" s="61">
        <v>68953</v>
      </c>
      <c r="W16" s="61">
        <v>76898</v>
      </c>
      <c r="X16" s="61">
        <v>85118</v>
      </c>
      <c r="Y16" s="61">
        <v>93077</v>
      </c>
      <c r="Z16" s="61">
        <v>101212</v>
      </c>
      <c r="AA16" s="61">
        <v>109722</v>
      </c>
      <c r="AB16" s="61">
        <v>118410</v>
      </c>
      <c r="AC16" s="61">
        <v>126658</v>
      </c>
      <c r="AD16" s="62">
        <v>134693</v>
      </c>
      <c r="AE16" s="62">
        <v>142808</v>
      </c>
      <c r="AF16" s="62">
        <v>151062</v>
      </c>
      <c r="AG16" s="62">
        <v>159399</v>
      </c>
      <c r="AH16" s="62">
        <v>167876</v>
      </c>
      <c r="AI16" s="62">
        <v>176438</v>
      </c>
      <c r="AJ16" s="62">
        <v>185258</v>
      </c>
      <c r="AK16" s="62">
        <v>194630</v>
      </c>
      <c r="AL16" s="62">
        <v>204320</v>
      </c>
      <c r="AM16" s="62">
        <v>214132</v>
      </c>
    </row>
    <row r="17" spans="2:39" ht="12.75" x14ac:dyDescent="0.2">
      <c r="B17" s="57">
        <f t="shared" si="0"/>
        <v>1955</v>
      </c>
      <c r="D17"/>
      <c r="E17"/>
      <c r="F17"/>
      <c r="G17"/>
      <c r="H17"/>
      <c r="I17"/>
      <c r="J17" s="57">
        <f t="shared" si="2"/>
        <v>2018</v>
      </c>
      <c r="K17" s="76">
        <v>84600</v>
      </c>
      <c r="L17" s="58">
        <v>0.01</v>
      </c>
      <c r="M17" s="59">
        <v>6768</v>
      </c>
      <c r="N17" s="77">
        <v>0.15</v>
      </c>
      <c r="P17" s="60">
        <f t="shared" si="3"/>
        <v>1976</v>
      </c>
      <c r="Q17" s="61">
        <v>25069</v>
      </c>
      <c r="R17" s="61">
        <v>31887</v>
      </c>
      <c r="S17" s="61">
        <v>38876</v>
      </c>
      <c r="T17" s="61">
        <v>46213</v>
      </c>
      <c r="U17" s="61">
        <v>53849</v>
      </c>
      <c r="V17" s="61">
        <v>61492</v>
      </c>
      <c r="W17" s="61">
        <v>69288</v>
      </c>
      <c r="X17" s="61">
        <v>77356</v>
      </c>
      <c r="Y17" s="61">
        <v>85198</v>
      </c>
      <c r="Z17" s="61">
        <v>93215</v>
      </c>
      <c r="AA17" s="61">
        <v>101585</v>
      </c>
      <c r="AB17" s="61">
        <v>110131</v>
      </c>
      <c r="AC17" s="61">
        <v>118276</v>
      </c>
      <c r="AD17" s="62">
        <v>126227</v>
      </c>
      <c r="AE17" s="62">
        <v>134257</v>
      </c>
      <c r="AF17" s="62">
        <v>142425</v>
      </c>
      <c r="AG17" s="62">
        <v>150676</v>
      </c>
      <c r="AH17" s="62">
        <v>159066</v>
      </c>
      <c r="AI17" s="62">
        <v>167539</v>
      </c>
      <c r="AJ17" s="62">
        <v>176270</v>
      </c>
      <c r="AK17" s="62">
        <v>185530</v>
      </c>
      <c r="AL17" s="62">
        <v>195107</v>
      </c>
      <c r="AM17" s="62">
        <v>204804</v>
      </c>
    </row>
    <row r="18" spans="2:39" ht="12.75" x14ac:dyDescent="0.2">
      <c r="B18" s="57">
        <f t="shared" si="0"/>
        <v>1956</v>
      </c>
      <c r="D18"/>
      <c r="E18"/>
      <c r="F18"/>
      <c r="G18"/>
      <c r="H18"/>
      <c r="I18"/>
      <c r="J18" s="57">
        <f t="shared" si="2"/>
        <v>2019</v>
      </c>
      <c r="K18" s="76">
        <v>85320</v>
      </c>
      <c r="L18" s="58">
        <v>0.01</v>
      </c>
      <c r="M18" s="59">
        <v>6826</v>
      </c>
      <c r="N18" s="77">
        <v>0.15</v>
      </c>
      <c r="P18" s="60">
        <f t="shared" si="3"/>
        <v>1977</v>
      </c>
      <c r="Q18" s="61">
        <v>18554</v>
      </c>
      <c r="R18" s="61">
        <v>25210</v>
      </c>
      <c r="S18" s="61">
        <v>32033</v>
      </c>
      <c r="T18" s="61">
        <v>39198</v>
      </c>
      <c r="U18" s="61">
        <v>46641</v>
      </c>
      <c r="V18" s="61">
        <v>54140</v>
      </c>
      <c r="W18" s="61">
        <v>61789</v>
      </c>
      <c r="X18" s="61">
        <v>69707</v>
      </c>
      <c r="Y18" s="61">
        <v>77434</v>
      </c>
      <c r="Z18" s="61">
        <v>85335</v>
      </c>
      <c r="AA18" s="61">
        <v>93567</v>
      </c>
      <c r="AB18" s="61">
        <v>101973</v>
      </c>
      <c r="AC18" s="61">
        <v>110015</v>
      </c>
      <c r="AD18" s="62">
        <v>117883</v>
      </c>
      <c r="AE18" s="62">
        <v>125830</v>
      </c>
      <c r="AF18" s="62">
        <v>133915</v>
      </c>
      <c r="AG18" s="62">
        <v>142080</v>
      </c>
      <c r="AH18" s="62">
        <v>150384</v>
      </c>
      <c r="AI18" s="62">
        <v>158771</v>
      </c>
      <c r="AJ18" s="62">
        <v>167414</v>
      </c>
      <c r="AK18" s="62">
        <v>176563</v>
      </c>
      <c r="AL18" s="62">
        <v>186028</v>
      </c>
      <c r="AM18" s="62">
        <v>195611</v>
      </c>
    </row>
    <row r="19" spans="2:39" ht="12.75" x14ac:dyDescent="0.2">
      <c r="B19" s="57">
        <f t="shared" ref="B19:B62" si="4">B18+1</f>
        <v>1957</v>
      </c>
      <c r="D19"/>
      <c r="E19"/>
      <c r="F19"/>
      <c r="G19"/>
      <c r="H19"/>
      <c r="I19"/>
      <c r="J19" s="57">
        <f t="shared" si="2"/>
        <v>2020</v>
      </c>
      <c r="K19" s="76">
        <v>85320</v>
      </c>
      <c r="L19" s="58">
        <v>0.01</v>
      </c>
      <c r="M19" s="59">
        <v>6826</v>
      </c>
      <c r="N19" s="77">
        <v>0.15</v>
      </c>
      <c r="P19" s="60">
        <f t="shared" si="3"/>
        <v>1978</v>
      </c>
      <c r="Q19" s="61">
        <v>12291</v>
      </c>
      <c r="R19" s="61">
        <v>18790</v>
      </c>
      <c r="S19" s="61">
        <v>25452</v>
      </c>
      <c r="T19" s="61">
        <v>32453</v>
      </c>
      <c r="U19" s="61">
        <v>39711</v>
      </c>
      <c r="V19" s="61">
        <v>47071</v>
      </c>
      <c r="W19" s="61">
        <v>54578</v>
      </c>
      <c r="X19" s="61">
        <v>62352</v>
      </c>
      <c r="Y19" s="61">
        <v>69969</v>
      </c>
      <c r="Z19" s="61">
        <v>77758</v>
      </c>
      <c r="AA19" s="61">
        <v>85857</v>
      </c>
      <c r="AB19" s="61">
        <v>94128</v>
      </c>
      <c r="AC19" s="61">
        <v>102072</v>
      </c>
      <c r="AD19" s="62">
        <v>109861</v>
      </c>
      <c r="AE19" s="62">
        <v>117728</v>
      </c>
      <c r="AF19" s="62">
        <v>125731</v>
      </c>
      <c r="AG19" s="62">
        <v>133814</v>
      </c>
      <c r="AH19" s="62">
        <v>142036</v>
      </c>
      <c r="AI19" s="62">
        <v>150339</v>
      </c>
      <c r="AJ19" s="62">
        <v>158898</v>
      </c>
      <c r="AK19" s="62">
        <v>167941</v>
      </c>
      <c r="AL19" s="62">
        <v>177298</v>
      </c>
      <c r="AM19" s="62">
        <v>186772</v>
      </c>
    </row>
    <row r="20" spans="2:39" ht="12.75" x14ac:dyDescent="0.2">
      <c r="B20" s="57">
        <f t="shared" si="4"/>
        <v>1958</v>
      </c>
      <c r="D20"/>
      <c r="E20"/>
      <c r="F20"/>
      <c r="G20"/>
      <c r="H20"/>
      <c r="I20"/>
      <c r="J20" s="57">
        <f t="shared" si="2"/>
        <v>2021</v>
      </c>
      <c r="K20" s="76">
        <v>86040</v>
      </c>
      <c r="L20" s="58">
        <v>0.01</v>
      </c>
      <c r="M20" s="59">
        <v>6883</v>
      </c>
      <c r="N20" s="77">
        <v>0.15</v>
      </c>
      <c r="P20" s="60">
        <f t="shared" si="3"/>
        <v>1979</v>
      </c>
      <c r="Q20" s="61">
        <v>6077</v>
      </c>
      <c r="R20" s="61">
        <v>12421</v>
      </c>
      <c r="S20" s="61">
        <v>18923</v>
      </c>
      <c r="T20" s="61">
        <v>25762</v>
      </c>
      <c r="U20" s="61">
        <v>32835</v>
      </c>
      <c r="V20" s="61">
        <v>40058</v>
      </c>
      <c r="W20" s="61">
        <v>47425</v>
      </c>
      <c r="X20" s="61">
        <v>55055</v>
      </c>
      <c r="Y20" s="61">
        <v>62563</v>
      </c>
      <c r="Z20" s="61">
        <v>70241</v>
      </c>
      <c r="AA20" s="61">
        <v>78209</v>
      </c>
      <c r="AB20" s="61">
        <v>86345</v>
      </c>
      <c r="AC20" s="61">
        <v>94193</v>
      </c>
      <c r="AD20" s="62">
        <v>101903</v>
      </c>
      <c r="AE20" s="62">
        <v>109690</v>
      </c>
      <c r="AF20" s="62">
        <v>117613</v>
      </c>
      <c r="AG20" s="62">
        <v>125615</v>
      </c>
      <c r="AH20" s="62">
        <v>133754</v>
      </c>
      <c r="AI20" s="62">
        <v>141975</v>
      </c>
      <c r="AJ20" s="62">
        <v>150450</v>
      </c>
      <c r="AK20" s="62">
        <v>159387</v>
      </c>
      <c r="AL20" s="62">
        <v>168637</v>
      </c>
      <c r="AM20" s="62">
        <v>178003</v>
      </c>
    </row>
    <row r="21" spans="2:39" ht="12.75" x14ac:dyDescent="0.2">
      <c r="B21" s="57">
        <f t="shared" si="4"/>
        <v>1959</v>
      </c>
      <c r="D21"/>
      <c r="E21"/>
      <c r="F21"/>
      <c r="G21"/>
      <c r="H21"/>
      <c r="I21"/>
      <c r="J21" s="57">
        <f t="shared" si="2"/>
        <v>2022</v>
      </c>
      <c r="K21" s="76">
        <v>86040</v>
      </c>
      <c r="L21" s="58">
        <v>0.01</v>
      </c>
      <c r="M21" s="59">
        <v>6883</v>
      </c>
      <c r="N21" s="77">
        <v>0.15</v>
      </c>
      <c r="P21" s="60">
        <f t="shared" si="3"/>
        <v>1980</v>
      </c>
      <c r="Q21" s="61">
        <v>0</v>
      </c>
      <c r="R21" s="61">
        <v>6192</v>
      </c>
      <c r="S21" s="61">
        <v>12539</v>
      </c>
      <c r="T21" s="61">
        <v>19217</v>
      </c>
      <c r="U21" s="61">
        <v>26111</v>
      </c>
      <c r="V21" s="61">
        <v>33199</v>
      </c>
      <c r="W21" s="61">
        <v>40429</v>
      </c>
      <c r="X21" s="61">
        <v>47920</v>
      </c>
      <c r="Y21" s="61">
        <v>55320</v>
      </c>
      <c r="Z21" s="61">
        <v>62889</v>
      </c>
      <c r="AA21" s="61">
        <v>70729</v>
      </c>
      <c r="AB21" s="61">
        <v>78734</v>
      </c>
      <c r="AC21" s="61">
        <v>86487</v>
      </c>
      <c r="AD21" s="62">
        <v>94119</v>
      </c>
      <c r="AE21" s="62">
        <v>101829</v>
      </c>
      <c r="AF21" s="62">
        <v>109673</v>
      </c>
      <c r="AG21" s="62">
        <v>117596</v>
      </c>
      <c r="AH21" s="62">
        <v>125655</v>
      </c>
      <c r="AI21" s="62">
        <v>133795</v>
      </c>
      <c r="AJ21" s="62">
        <v>142188</v>
      </c>
      <c r="AK21" s="62">
        <v>151022</v>
      </c>
      <c r="AL21" s="62">
        <v>160167</v>
      </c>
      <c r="AM21" s="62">
        <v>169427</v>
      </c>
    </row>
    <row r="22" spans="2:39" ht="12.75" x14ac:dyDescent="0.2">
      <c r="B22" s="57">
        <f t="shared" si="4"/>
        <v>1960</v>
      </c>
      <c r="D22"/>
      <c r="E22"/>
      <c r="F22"/>
      <c r="G22"/>
      <c r="H22"/>
      <c r="I22"/>
      <c r="J22" s="57">
        <f t="shared" si="2"/>
        <v>2023</v>
      </c>
      <c r="K22" s="76">
        <v>88200</v>
      </c>
      <c r="L22" s="58">
        <v>0.01</v>
      </c>
      <c r="M22" s="59">
        <v>7056</v>
      </c>
      <c r="N22" s="77">
        <v>0.15</v>
      </c>
      <c r="P22" s="60">
        <f t="shared" si="3"/>
        <v>1981</v>
      </c>
      <c r="Q22" s="61">
        <v>0</v>
      </c>
      <c r="R22" s="61">
        <v>0</v>
      </c>
      <c r="S22" s="61">
        <v>6192</v>
      </c>
      <c r="T22" s="61">
        <v>12712</v>
      </c>
      <c r="U22" s="61">
        <v>19426</v>
      </c>
      <c r="V22" s="61">
        <v>26381</v>
      </c>
      <c r="W22" s="61">
        <v>33475</v>
      </c>
      <c r="X22" s="61">
        <v>40826</v>
      </c>
      <c r="Y22" s="61">
        <v>48120</v>
      </c>
      <c r="Z22" s="61">
        <v>55581</v>
      </c>
      <c r="AA22" s="61">
        <v>63293</v>
      </c>
      <c r="AB22" s="61">
        <v>71169</v>
      </c>
      <c r="AC22" s="61">
        <v>78826</v>
      </c>
      <c r="AD22" s="62">
        <v>86382</v>
      </c>
      <c r="AE22" s="62">
        <v>94014</v>
      </c>
      <c r="AF22" s="62">
        <v>101780</v>
      </c>
      <c r="AG22" s="62">
        <v>109624</v>
      </c>
      <c r="AH22" s="62">
        <v>117604</v>
      </c>
      <c r="AI22" s="62">
        <v>125663</v>
      </c>
      <c r="AJ22" s="62">
        <v>133975</v>
      </c>
      <c r="AK22" s="62">
        <v>142706</v>
      </c>
      <c r="AL22" s="62">
        <v>151748</v>
      </c>
      <c r="AM22" s="62">
        <v>160902</v>
      </c>
    </row>
    <row r="23" spans="2:39" ht="12.75" x14ac:dyDescent="0.2">
      <c r="B23" s="57">
        <f t="shared" si="4"/>
        <v>1961</v>
      </c>
      <c r="D23"/>
      <c r="E23"/>
      <c r="F23"/>
      <c r="G23"/>
      <c r="H23"/>
      <c r="I23"/>
      <c r="J23" s="57">
        <f t="shared" si="2"/>
        <v>2024</v>
      </c>
      <c r="K23" s="76">
        <v>88200</v>
      </c>
      <c r="L23" s="58">
        <v>1.2500000000000001E-2</v>
      </c>
      <c r="M23" s="59">
        <v>7056</v>
      </c>
      <c r="N23" s="77">
        <v>0.15</v>
      </c>
      <c r="P23" s="60">
        <f t="shared" si="3"/>
        <v>1982</v>
      </c>
      <c r="Q23" s="61">
        <v>0</v>
      </c>
      <c r="R23" s="61">
        <v>0</v>
      </c>
      <c r="S23" s="61">
        <v>0</v>
      </c>
      <c r="T23" s="61">
        <v>6365</v>
      </c>
      <c r="U23" s="61">
        <v>12905</v>
      </c>
      <c r="V23" s="61">
        <v>19729</v>
      </c>
      <c r="W23" s="61">
        <v>26690</v>
      </c>
      <c r="X23" s="61">
        <v>33906</v>
      </c>
      <c r="Y23" s="61">
        <v>41096</v>
      </c>
      <c r="Z23" s="61">
        <v>48452</v>
      </c>
      <c r="AA23" s="61">
        <v>56038</v>
      </c>
      <c r="AB23" s="61">
        <v>63787</v>
      </c>
      <c r="AC23" s="61">
        <v>71352</v>
      </c>
      <c r="AD23" s="62">
        <v>78834</v>
      </c>
      <c r="AE23" s="62">
        <v>86390</v>
      </c>
      <c r="AF23" s="62">
        <v>94080</v>
      </c>
      <c r="AG23" s="62">
        <v>101847</v>
      </c>
      <c r="AH23" s="62">
        <v>109749</v>
      </c>
      <c r="AI23" s="62">
        <v>117729</v>
      </c>
      <c r="AJ23" s="62">
        <v>125962</v>
      </c>
      <c r="AK23" s="62">
        <v>134593</v>
      </c>
      <c r="AL23" s="62">
        <v>143533</v>
      </c>
      <c r="AM23" s="62">
        <v>152585</v>
      </c>
    </row>
    <row r="24" spans="2:39" ht="12.75" x14ac:dyDescent="0.2">
      <c r="B24" s="57">
        <f t="shared" si="4"/>
        <v>1962</v>
      </c>
      <c r="D24"/>
      <c r="E24"/>
      <c r="F24"/>
      <c r="G24"/>
      <c r="H24"/>
      <c r="I24"/>
      <c r="J24" s="57">
        <f t="shared" si="2"/>
        <v>2025</v>
      </c>
      <c r="K24" s="76">
        <v>90720</v>
      </c>
      <c r="L24" s="58">
        <v>1.2500000000000001E-2</v>
      </c>
      <c r="M24" s="59">
        <v>7258</v>
      </c>
      <c r="N24" s="77">
        <v>0.15</v>
      </c>
      <c r="P24" s="60">
        <f t="shared" si="3"/>
        <v>1983</v>
      </c>
      <c r="Q24" s="61">
        <v>0</v>
      </c>
      <c r="R24" s="61">
        <v>0</v>
      </c>
      <c r="S24" s="61">
        <v>0</v>
      </c>
      <c r="T24" s="61">
        <v>0</v>
      </c>
      <c r="U24" s="61">
        <v>6365</v>
      </c>
      <c r="V24" s="61">
        <v>13058</v>
      </c>
      <c r="W24" s="61">
        <v>19885</v>
      </c>
      <c r="X24" s="61">
        <v>26965</v>
      </c>
      <c r="Y24" s="61">
        <v>34052</v>
      </c>
      <c r="Z24" s="61">
        <v>41301</v>
      </c>
      <c r="AA24" s="61">
        <v>48763</v>
      </c>
      <c r="AB24" s="61">
        <v>56385</v>
      </c>
      <c r="AC24" s="61">
        <v>63857</v>
      </c>
      <c r="AD24" s="62">
        <v>71264</v>
      </c>
      <c r="AE24" s="62">
        <v>78745</v>
      </c>
      <c r="AF24" s="62">
        <v>86358</v>
      </c>
      <c r="AG24" s="62">
        <v>94048</v>
      </c>
      <c r="AH24" s="62">
        <v>101871</v>
      </c>
      <c r="AI24" s="62">
        <v>109773</v>
      </c>
      <c r="AJ24" s="62">
        <v>117926</v>
      </c>
      <c r="AK24" s="62">
        <v>126457</v>
      </c>
      <c r="AL24" s="62">
        <v>135295</v>
      </c>
      <c r="AM24" s="62">
        <v>144244</v>
      </c>
    </row>
    <row r="25" spans="2:39" ht="12.75" x14ac:dyDescent="0.2">
      <c r="B25" s="57">
        <f t="shared" si="4"/>
        <v>1963</v>
      </c>
      <c r="D25"/>
      <c r="E25"/>
      <c r="F25"/>
      <c r="G25"/>
      <c r="H25"/>
      <c r="I25"/>
      <c r="J25" s="57">
        <f t="shared" si="2"/>
        <v>2026</v>
      </c>
      <c r="K25" s="76">
        <v>90720</v>
      </c>
      <c r="L25" s="58">
        <v>1.2500000000000001E-2</v>
      </c>
      <c r="M25" s="59">
        <v>7258</v>
      </c>
      <c r="N25" s="77">
        <v>0.15</v>
      </c>
      <c r="P25" s="60">
        <f t="shared" si="3"/>
        <v>1984</v>
      </c>
      <c r="Q25" s="61">
        <v>0</v>
      </c>
      <c r="R25" s="61">
        <v>0</v>
      </c>
      <c r="S25" s="61">
        <v>0</v>
      </c>
      <c r="T25" s="61">
        <v>0</v>
      </c>
      <c r="U25" s="61">
        <v>0</v>
      </c>
      <c r="V25" s="61">
        <v>6566</v>
      </c>
      <c r="W25" s="61">
        <v>13263</v>
      </c>
      <c r="X25" s="61">
        <v>20211</v>
      </c>
      <c r="Y25" s="61">
        <v>27196</v>
      </c>
      <c r="Z25" s="61">
        <v>34343</v>
      </c>
      <c r="AA25" s="61">
        <v>41683</v>
      </c>
      <c r="AB25" s="61">
        <v>49180</v>
      </c>
      <c r="AC25" s="61">
        <v>56563</v>
      </c>
      <c r="AD25" s="62">
        <v>63897</v>
      </c>
      <c r="AE25" s="62">
        <v>71303</v>
      </c>
      <c r="AF25" s="62">
        <v>78843</v>
      </c>
      <c r="AG25" s="62">
        <v>86457</v>
      </c>
      <c r="AH25" s="62">
        <v>94205</v>
      </c>
      <c r="AI25" s="62">
        <v>102030</v>
      </c>
      <c r="AJ25" s="62">
        <v>110106</v>
      </c>
      <c r="AK25" s="62">
        <v>118539</v>
      </c>
      <c r="AL25" s="62">
        <v>127278</v>
      </c>
      <c r="AM25" s="62">
        <v>136127</v>
      </c>
    </row>
    <row r="26" spans="2:39" x14ac:dyDescent="0.2">
      <c r="B26" s="57">
        <f t="shared" si="4"/>
        <v>1964</v>
      </c>
      <c r="P26" s="60">
        <f t="shared" si="3"/>
        <v>1985</v>
      </c>
      <c r="Q26" s="61">
        <v>0</v>
      </c>
      <c r="R26" s="61">
        <v>0</v>
      </c>
      <c r="S26" s="61">
        <v>0</v>
      </c>
      <c r="T26" s="61">
        <v>0</v>
      </c>
      <c r="U26" s="61">
        <v>0</v>
      </c>
      <c r="V26" s="61">
        <v>0</v>
      </c>
      <c r="W26" s="61">
        <v>6566</v>
      </c>
      <c r="X26" s="61">
        <v>13379</v>
      </c>
      <c r="Y26" s="61">
        <v>20262</v>
      </c>
      <c r="Z26" s="61">
        <v>27305</v>
      </c>
      <c r="AA26" s="61">
        <v>34522</v>
      </c>
      <c r="AB26" s="61">
        <v>41894</v>
      </c>
      <c r="AC26" s="61">
        <v>49186</v>
      </c>
      <c r="AD26" s="62">
        <v>56445</v>
      </c>
      <c r="AE26" s="62">
        <v>63778</v>
      </c>
      <c r="AF26" s="62">
        <v>71242</v>
      </c>
      <c r="AG26" s="62">
        <v>78780</v>
      </c>
      <c r="AH26" s="62">
        <v>86451</v>
      </c>
      <c r="AI26" s="62">
        <v>94199</v>
      </c>
      <c r="AJ26" s="62">
        <v>102196</v>
      </c>
      <c r="AK26" s="62">
        <v>110530</v>
      </c>
      <c r="AL26" s="62">
        <v>119169</v>
      </c>
      <c r="AM26" s="62">
        <v>127917</v>
      </c>
    </row>
    <row r="27" spans="2:39" x14ac:dyDescent="0.2">
      <c r="B27" s="57">
        <f t="shared" si="4"/>
        <v>1965</v>
      </c>
      <c r="P27" s="60">
        <f t="shared" si="3"/>
        <v>1986</v>
      </c>
      <c r="Q27" s="61">
        <v>0</v>
      </c>
      <c r="R27" s="61">
        <v>0</v>
      </c>
      <c r="S27" s="61">
        <v>0</v>
      </c>
      <c r="T27" s="61">
        <v>0</v>
      </c>
      <c r="U27" s="61">
        <v>0</v>
      </c>
      <c r="V27" s="61">
        <v>0</v>
      </c>
      <c r="W27" s="61">
        <v>0</v>
      </c>
      <c r="X27" s="61">
        <v>6682</v>
      </c>
      <c r="Y27" s="61">
        <v>13464</v>
      </c>
      <c r="Z27" s="61">
        <v>20405</v>
      </c>
      <c r="AA27" s="61">
        <v>27501</v>
      </c>
      <c r="AB27" s="61">
        <v>34751</v>
      </c>
      <c r="AC27" s="61">
        <v>41953</v>
      </c>
      <c r="AD27" s="62">
        <v>49140</v>
      </c>
      <c r="AE27" s="62">
        <v>56400</v>
      </c>
      <c r="AF27" s="62">
        <v>63790</v>
      </c>
      <c r="AG27" s="62">
        <v>71254</v>
      </c>
      <c r="AH27" s="62">
        <v>78850</v>
      </c>
      <c r="AI27" s="62">
        <v>86521</v>
      </c>
      <c r="AJ27" s="62">
        <v>94442</v>
      </c>
      <c r="AK27" s="62">
        <v>102679</v>
      </c>
      <c r="AL27" s="62">
        <v>111220</v>
      </c>
      <c r="AM27" s="62">
        <v>119868</v>
      </c>
    </row>
    <row r="28" spans="2:39" x14ac:dyDescent="0.2">
      <c r="B28" s="57">
        <f t="shared" si="4"/>
        <v>1966</v>
      </c>
      <c r="P28" s="60">
        <f t="shared" si="3"/>
        <v>1987</v>
      </c>
      <c r="Q28" s="61">
        <v>0</v>
      </c>
      <c r="R28" s="61">
        <v>0</v>
      </c>
      <c r="S28" s="61">
        <v>0</v>
      </c>
      <c r="T28" s="61">
        <v>0</v>
      </c>
      <c r="U28" s="61">
        <v>0</v>
      </c>
      <c r="V28" s="61">
        <v>0</v>
      </c>
      <c r="W28" s="61">
        <v>0</v>
      </c>
      <c r="X28" s="61">
        <v>0</v>
      </c>
      <c r="Y28" s="61">
        <v>6682</v>
      </c>
      <c r="Z28" s="61">
        <v>13521</v>
      </c>
      <c r="AA28" s="61">
        <v>20497</v>
      </c>
      <c r="AB28" s="61">
        <v>27624</v>
      </c>
      <c r="AC28" s="61">
        <v>34737</v>
      </c>
      <c r="AD28" s="62">
        <v>41852</v>
      </c>
      <c r="AE28" s="62">
        <v>49039</v>
      </c>
      <c r="AF28" s="62">
        <v>56355</v>
      </c>
      <c r="AG28" s="62">
        <v>63745</v>
      </c>
      <c r="AH28" s="62">
        <v>71265</v>
      </c>
      <c r="AI28" s="62">
        <v>78861</v>
      </c>
      <c r="AJ28" s="62">
        <v>86704</v>
      </c>
      <c r="AK28" s="62">
        <v>94846</v>
      </c>
      <c r="AL28" s="62">
        <v>103289</v>
      </c>
      <c r="AM28" s="62">
        <v>111838</v>
      </c>
    </row>
    <row r="29" spans="2:39" x14ac:dyDescent="0.2">
      <c r="B29" s="57">
        <f t="shared" si="4"/>
        <v>1967</v>
      </c>
      <c r="P29" s="60">
        <f t="shared" si="3"/>
        <v>1988</v>
      </c>
      <c r="Q29" s="61">
        <v>0</v>
      </c>
      <c r="R29" s="61">
        <v>0</v>
      </c>
      <c r="S29" s="61">
        <v>0</v>
      </c>
      <c r="T29" s="61">
        <v>0</v>
      </c>
      <c r="U29" s="61">
        <v>0</v>
      </c>
      <c r="V29" s="61">
        <v>0</v>
      </c>
      <c r="W29" s="61">
        <v>0</v>
      </c>
      <c r="X29" s="61">
        <v>0</v>
      </c>
      <c r="Y29" s="61">
        <v>0</v>
      </c>
      <c r="Z29" s="61">
        <v>6739</v>
      </c>
      <c r="AA29" s="61">
        <v>13596</v>
      </c>
      <c r="AB29" s="61">
        <v>20602</v>
      </c>
      <c r="AC29" s="61">
        <v>27627</v>
      </c>
      <c r="AD29" s="62">
        <v>34672</v>
      </c>
      <c r="AE29" s="62">
        <v>41786</v>
      </c>
      <c r="AF29" s="62">
        <v>49030</v>
      </c>
      <c r="AG29" s="62">
        <v>56347</v>
      </c>
      <c r="AH29" s="62">
        <v>63793</v>
      </c>
      <c r="AI29" s="62">
        <v>71314</v>
      </c>
      <c r="AJ29" s="62">
        <v>79083</v>
      </c>
      <c r="AK29" s="62">
        <v>87128</v>
      </c>
      <c r="AL29" s="62">
        <v>95475</v>
      </c>
      <c r="AM29" s="62">
        <v>103926</v>
      </c>
    </row>
    <row r="30" spans="2:39" x14ac:dyDescent="0.2">
      <c r="B30" s="57">
        <f t="shared" si="4"/>
        <v>1968</v>
      </c>
      <c r="P30" s="60">
        <f t="shared" si="3"/>
        <v>1989</v>
      </c>
      <c r="Q30" s="61">
        <v>0</v>
      </c>
      <c r="R30" s="61">
        <v>0</v>
      </c>
      <c r="S30" s="61">
        <v>0</v>
      </c>
      <c r="T30" s="61">
        <v>0</v>
      </c>
      <c r="U30" s="61">
        <v>0</v>
      </c>
      <c r="V30" s="61">
        <v>0</v>
      </c>
      <c r="W30" s="61">
        <v>0</v>
      </c>
      <c r="X30" s="61">
        <v>0</v>
      </c>
      <c r="Y30" s="61">
        <v>0</v>
      </c>
      <c r="Z30" s="61">
        <v>0</v>
      </c>
      <c r="AA30" s="61">
        <v>6739</v>
      </c>
      <c r="AB30" s="61">
        <v>13625</v>
      </c>
      <c r="AC30" s="61">
        <v>20563</v>
      </c>
      <c r="AD30" s="62">
        <v>27537</v>
      </c>
      <c r="AE30" s="62">
        <v>34580</v>
      </c>
      <c r="AF30" s="62">
        <v>41752</v>
      </c>
      <c r="AG30" s="62">
        <v>48996</v>
      </c>
      <c r="AH30" s="62">
        <v>56369</v>
      </c>
      <c r="AI30" s="62">
        <v>63816</v>
      </c>
      <c r="AJ30" s="62">
        <v>71510</v>
      </c>
      <c r="AK30" s="62">
        <v>79460</v>
      </c>
      <c r="AL30" s="62">
        <v>87710</v>
      </c>
      <c r="AM30" s="62">
        <v>96065</v>
      </c>
    </row>
    <row r="31" spans="2:39" x14ac:dyDescent="0.2">
      <c r="B31" s="57">
        <f t="shared" si="4"/>
        <v>1969</v>
      </c>
      <c r="P31" s="60">
        <f t="shared" si="3"/>
        <v>1990</v>
      </c>
      <c r="Q31" s="61">
        <v>0</v>
      </c>
      <c r="R31" s="61">
        <v>0</v>
      </c>
      <c r="S31" s="61">
        <v>0</v>
      </c>
      <c r="T31" s="61">
        <v>0</v>
      </c>
      <c r="U31" s="61">
        <v>0</v>
      </c>
      <c r="V31" s="61">
        <v>0</v>
      </c>
      <c r="W31" s="61">
        <v>0</v>
      </c>
      <c r="X31" s="61">
        <v>0</v>
      </c>
      <c r="Y31" s="61">
        <v>0</v>
      </c>
      <c r="Z31" s="61">
        <v>0</v>
      </c>
      <c r="AA31" s="61">
        <v>0</v>
      </c>
      <c r="AB31" s="61">
        <v>6768</v>
      </c>
      <c r="AC31" s="61">
        <v>13621</v>
      </c>
      <c r="AD31" s="62">
        <v>20525</v>
      </c>
      <c r="AE31" s="62">
        <v>27498</v>
      </c>
      <c r="AF31" s="62">
        <v>34599</v>
      </c>
      <c r="AG31" s="62">
        <v>41771</v>
      </c>
      <c r="AH31" s="62">
        <v>49072</v>
      </c>
      <c r="AI31" s="62">
        <v>56446</v>
      </c>
      <c r="AJ31" s="62">
        <v>64066</v>
      </c>
      <c r="AK31" s="62">
        <v>71923</v>
      </c>
      <c r="AL31" s="62">
        <v>80080</v>
      </c>
      <c r="AM31" s="62">
        <v>88339</v>
      </c>
    </row>
    <row r="32" spans="2:39" x14ac:dyDescent="0.2">
      <c r="B32" s="57">
        <f t="shared" si="4"/>
        <v>1970</v>
      </c>
      <c r="P32" s="60">
        <f t="shared" si="3"/>
        <v>1991</v>
      </c>
      <c r="Q32" s="61">
        <v>0</v>
      </c>
      <c r="R32" s="61">
        <v>0</v>
      </c>
      <c r="S32" s="61">
        <v>0</v>
      </c>
      <c r="T32" s="61">
        <v>0</v>
      </c>
      <c r="U32" s="61">
        <v>0</v>
      </c>
      <c r="V32" s="61">
        <v>0</v>
      </c>
      <c r="W32" s="61">
        <v>0</v>
      </c>
      <c r="X32" s="61">
        <v>0</v>
      </c>
      <c r="Y32" s="61">
        <v>0</v>
      </c>
      <c r="Z32" s="61">
        <v>0</v>
      </c>
      <c r="AA32" s="61">
        <v>0</v>
      </c>
      <c r="AB32" s="61">
        <v>0</v>
      </c>
      <c r="AC32" s="61">
        <v>6768</v>
      </c>
      <c r="AD32" s="62">
        <v>13604</v>
      </c>
      <c r="AE32" s="62">
        <v>20508</v>
      </c>
      <c r="AF32" s="62">
        <v>27539</v>
      </c>
      <c r="AG32" s="62">
        <v>34640</v>
      </c>
      <c r="AH32" s="62">
        <v>41870</v>
      </c>
      <c r="AI32" s="62">
        <v>49172</v>
      </c>
      <c r="AJ32" s="62">
        <v>56719</v>
      </c>
      <c r="AK32" s="62">
        <v>64484</v>
      </c>
      <c r="AL32" s="62">
        <v>72548</v>
      </c>
      <c r="AM32" s="62">
        <v>80713</v>
      </c>
    </row>
    <row r="33" spans="2:39" x14ac:dyDescent="0.2">
      <c r="B33" s="57">
        <f t="shared" si="4"/>
        <v>1971</v>
      </c>
      <c r="P33" s="60">
        <f t="shared" si="3"/>
        <v>1992</v>
      </c>
      <c r="Q33" s="61">
        <v>0</v>
      </c>
      <c r="R33" s="61">
        <v>0</v>
      </c>
      <c r="S33" s="61">
        <v>0</v>
      </c>
      <c r="T33" s="61">
        <v>0</v>
      </c>
      <c r="U33" s="61">
        <v>0</v>
      </c>
      <c r="V33" s="61">
        <v>0</v>
      </c>
      <c r="W33" s="61">
        <v>0</v>
      </c>
      <c r="X33" s="61">
        <v>0</v>
      </c>
      <c r="Y33" s="61">
        <v>0</v>
      </c>
      <c r="Z33" s="61">
        <v>0</v>
      </c>
      <c r="AA33" s="61">
        <v>0</v>
      </c>
      <c r="AB33" s="61">
        <v>0</v>
      </c>
      <c r="AC33" s="61">
        <v>0</v>
      </c>
      <c r="AD33" s="62">
        <v>6768</v>
      </c>
      <c r="AE33" s="62">
        <v>13604</v>
      </c>
      <c r="AF33" s="62">
        <v>20566</v>
      </c>
      <c r="AG33" s="62">
        <v>27597</v>
      </c>
      <c r="AH33" s="62">
        <v>34757</v>
      </c>
      <c r="AI33" s="62">
        <v>41987</v>
      </c>
      <c r="AJ33" s="62">
        <v>49463</v>
      </c>
      <c r="AK33" s="62">
        <v>57137</v>
      </c>
      <c r="AL33" s="62">
        <v>65109</v>
      </c>
      <c r="AM33" s="62">
        <v>73181</v>
      </c>
    </row>
    <row r="34" spans="2:39" x14ac:dyDescent="0.2">
      <c r="B34" s="57">
        <f t="shared" si="4"/>
        <v>1972</v>
      </c>
      <c r="P34" s="60">
        <f t="shared" si="3"/>
        <v>1993</v>
      </c>
      <c r="Q34" s="61">
        <v>0</v>
      </c>
      <c r="R34" s="61">
        <v>0</v>
      </c>
      <c r="S34" s="61">
        <v>0</v>
      </c>
      <c r="T34" s="61">
        <v>0</v>
      </c>
      <c r="U34" s="61">
        <v>0</v>
      </c>
      <c r="V34" s="61">
        <v>0</v>
      </c>
      <c r="W34" s="61">
        <v>0</v>
      </c>
      <c r="X34" s="61">
        <v>0</v>
      </c>
      <c r="Y34" s="61">
        <v>0</v>
      </c>
      <c r="Z34" s="61">
        <v>0</v>
      </c>
      <c r="AA34" s="61">
        <v>0</v>
      </c>
      <c r="AB34" s="61">
        <v>0</v>
      </c>
      <c r="AC34" s="61">
        <v>0</v>
      </c>
      <c r="AD34" s="61">
        <v>0</v>
      </c>
      <c r="AE34" s="62">
        <v>6768</v>
      </c>
      <c r="AF34" s="62">
        <v>13662</v>
      </c>
      <c r="AG34" s="62">
        <v>20624</v>
      </c>
      <c r="AH34" s="62">
        <v>27714</v>
      </c>
      <c r="AI34" s="62">
        <v>34874</v>
      </c>
      <c r="AJ34" s="62">
        <v>42279</v>
      </c>
      <c r="AK34" s="62">
        <v>49863</v>
      </c>
      <c r="AL34" s="62">
        <v>57744</v>
      </c>
      <c r="AM34" s="62">
        <v>65724</v>
      </c>
    </row>
    <row r="35" spans="2:39" x14ac:dyDescent="0.2">
      <c r="B35" s="57">
        <f t="shared" si="4"/>
        <v>1973</v>
      </c>
      <c r="P35" s="60">
        <f t="shared" si="3"/>
        <v>1994</v>
      </c>
      <c r="Q35" s="61">
        <v>0</v>
      </c>
      <c r="R35" s="61">
        <v>0</v>
      </c>
      <c r="S35" s="61">
        <v>0</v>
      </c>
      <c r="T35" s="61">
        <v>0</v>
      </c>
      <c r="U35" s="61">
        <v>0</v>
      </c>
      <c r="V35" s="61">
        <v>0</v>
      </c>
      <c r="W35" s="61">
        <v>0</v>
      </c>
      <c r="X35" s="61">
        <v>0</v>
      </c>
      <c r="Y35" s="61">
        <v>0</v>
      </c>
      <c r="Z35" s="61">
        <v>0</v>
      </c>
      <c r="AA35" s="61">
        <v>0</v>
      </c>
      <c r="AB35" s="61">
        <v>0</v>
      </c>
      <c r="AC35" s="61">
        <v>0</v>
      </c>
      <c r="AD35" s="61">
        <v>0</v>
      </c>
      <c r="AE35" s="61">
        <v>0</v>
      </c>
      <c r="AF35" s="62">
        <v>6826</v>
      </c>
      <c r="AG35" s="62">
        <v>13720</v>
      </c>
      <c r="AH35" s="62">
        <v>20741</v>
      </c>
      <c r="AI35" s="62">
        <v>27831</v>
      </c>
      <c r="AJ35" s="62">
        <v>35166</v>
      </c>
      <c r="AK35" s="62">
        <v>42661</v>
      </c>
      <c r="AL35" s="62">
        <v>50452</v>
      </c>
      <c r="AM35" s="62">
        <v>58341</v>
      </c>
    </row>
    <row r="36" spans="2:39" x14ac:dyDescent="0.2">
      <c r="B36" s="57">
        <f t="shared" si="4"/>
        <v>1974</v>
      </c>
      <c r="P36" s="60">
        <f t="shared" si="3"/>
        <v>1995</v>
      </c>
      <c r="Q36" s="61">
        <v>0</v>
      </c>
      <c r="R36" s="61">
        <v>0</v>
      </c>
      <c r="S36" s="61">
        <v>0</v>
      </c>
      <c r="T36" s="61">
        <v>0</v>
      </c>
      <c r="U36" s="61">
        <v>0</v>
      </c>
      <c r="V36" s="61">
        <v>0</v>
      </c>
      <c r="W36" s="61">
        <v>0</v>
      </c>
      <c r="X36" s="61">
        <v>0</v>
      </c>
      <c r="Y36" s="61">
        <v>0</v>
      </c>
      <c r="Z36" s="61">
        <v>0</v>
      </c>
      <c r="AA36" s="61">
        <v>0</v>
      </c>
      <c r="AB36" s="61">
        <v>0</v>
      </c>
      <c r="AC36" s="61">
        <v>0</v>
      </c>
      <c r="AD36" s="61">
        <v>0</v>
      </c>
      <c r="AE36" s="61">
        <v>0</v>
      </c>
      <c r="AF36" s="61">
        <v>0</v>
      </c>
      <c r="AG36" s="62">
        <v>6826</v>
      </c>
      <c r="AH36" s="62">
        <v>13777</v>
      </c>
      <c r="AI36" s="62">
        <v>20798</v>
      </c>
      <c r="AJ36" s="62">
        <v>28062</v>
      </c>
      <c r="AK36" s="62">
        <v>35469</v>
      </c>
      <c r="AL36" s="62">
        <v>43170</v>
      </c>
      <c r="AM36" s="62">
        <v>50968</v>
      </c>
    </row>
    <row r="37" spans="2:39" x14ac:dyDescent="0.2">
      <c r="B37" s="57">
        <f t="shared" si="4"/>
        <v>1975</v>
      </c>
      <c r="P37" s="60">
        <f t="shared" si="3"/>
        <v>1996</v>
      </c>
      <c r="Q37" s="61">
        <v>0</v>
      </c>
      <c r="R37" s="61">
        <v>0</v>
      </c>
      <c r="S37" s="61">
        <v>0</v>
      </c>
      <c r="T37" s="61">
        <v>0</v>
      </c>
      <c r="U37" s="61">
        <v>0</v>
      </c>
      <c r="V37" s="61">
        <v>0</v>
      </c>
      <c r="W37" s="61">
        <v>0</v>
      </c>
      <c r="X37" s="61">
        <v>0</v>
      </c>
      <c r="Y37" s="61">
        <v>0</v>
      </c>
      <c r="Z37" s="61">
        <v>0</v>
      </c>
      <c r="AA37" s="61">
        <v>0</v>
      </c>
      <c r="AB37" s="61">
        <v>0</v>
      </c>
      <c r="AC37" s="61">
        <v>0</v>
      </c>
      <c r="AD37" s="61">
        <v>0</v>
      </c>
      <c r="AE37" s="61">
        <v>0</v>
      </c>
      <c r="AF37" s="61">
        <v>0</v>
      </c>
      <c r="AG37" s="61">
        <v>0</v>
      </c>
      <c r="AH37" s="62">
        <v>6883</v>
      </c>
      <c r="AI37" s="62">
        <v>13835</v>
      </c>
      <c r="AJ37" s="62">
        <v>21030</v>
      </c>
      <c r="AK37" s="62">
        <v>28348</v>
      </c>
      <c r="AL37" s="62">
        <v>35960</v>
      </c>
      <c r="AM37" s="62">
        <v>43668</v>
      </c>
    </row>
    <row r="38" spans="2:39" x14ac:dyDescent="0.2">
      <c r="B38" s="57">
        <f t="shared" si="4"/>
        <v>1976</v>
      </c>
      <c r="P38" s="60">
        <f t="shared" si="3"/>
        <v>1997</v>
      </c>
      <c r="Q38" s="61">
        <v>0</v>
      </c>
      <c r="R38" s="61">
        <v>0</v>
      </c>
      <c r="S38" s="61">
        <v>0</v>
      </c>
      <c r="T38" s="61">
        <v>0</v>
      </c>
      <c r="U38" s="61">
        <v>0</v>
      </c>
      <c r="V38" s="61">
        <v>0</v>
      </c>
      <c r="W38" s="61">
        <v>0</v>
      </c>
      <c r="X38" s="61">
        <v>0</v>
      </c>
      <c r="Y38" s="61">
        <v>0</v>
      </c>
      <c r="Z38" s="61">
        <v>0</v>
      </c>
      <c r="AA38" s="61">
        <v>0</v>
      </c>
      <c r="AB38" s="61">
        <v>0</v>
      </c>
      <c r="AC38" s="61">
        <v>0</v>
      </c>
      <c r="AD38" s="61">
        <v>0</v>
      </c>
      <c r="AE38" s="61">
        <v>0</v>
      </c>
      <c r="AF38" s="61">
        <v>0</v>
      </c>
      <c r="AG38" s="61">
        <v>0</v>
      </c>
      <c r="AH38" s="61">
        <v>0</v>
      </c>
      <c r="AI38" s="62">
        <v>6883</v>
      </c>
      <c r="AJ38" s="62">
        <v>14008</v>
      </c>
      <c r="AK38" s="62">
        <v>21239</v>
      </c>
      <c r="AL38" s="62">
        <v>28762</v>
      </c>
      <c r="AM38" s="62">
        <v>36380</v>
      </c>
    </row>
    <row r="39" spans="2:39" x14ac:dyDescent="0.2">
      <c r="B39" s="57">
        <f t="shared" si="4"/>
        <v>1977</v>
      </c>
      <c r="P39" s="60">
        <f t="shared" si="3"/>
        <v>1998</v>
      </c>
      <c r="Q39" s="61">
        <v>0</v>
      </c>
      <c r="R39" s="61">
        <v>0</v>
      </c>
      <c r="S39" s="61">
        <v>0</v>
      </c>
      <c r="T39" s="61">
        <v>0</v>
      </c>
      <c r="U39" s="61">
        <v>0</v>
      </c>
      <c r="V39" s="61">
        <v>0</v>
      </c>
      <c r="W39" s="61">
        <v>0</v>
      </c>
      <c r="X39" s="61">
        <v>0</v>
      </c>
      <c r="Y39" s="61">
        <v>0</v>
      </c>
      <c r="Z39" s="61">
        <v>0</v>
      </c>
      <c r="AA39" s="61">
        <v>0</v>
      </c>
      <c r="AB39" s="61">
        <v>0</v>
      </c>
      <c r="AC39" s="61">
        <v>0</v>
      </c>
      <c r="AD39" s="61">
        <v>0</v>
      </c>
      <c r="AE39" s="61">
        <v>0</v>
      </c>
      <c r="AF39" s="61">
        <v>0</v>
      </c>
      <c r="AG39" s="61">
        <v>0</v>
      </c>
      <c r="AH39" s="61">
        <v>0</v>
      </c>
      <c r="AI39" s="61">
        <v>0</v>
      </c>
      <c r="AJ39" s="62">
        <v>7056</v>
      </c>
      <c r="AK39" s="62">
        <v>14200</v>
      </c>
      <c r="AL39" s="62">
        <v>21635</v>
      </c>
      <c r="AM39" s="62">
        <v>29164</v>
      </c>
    </row>
    <row r="40" spans="2:39" x14ac:dyDescent="0.2">
      <c r="B40" s="57">
        <f t="shared" si="4"/>
        <v>1978</v>
      </c>
      <c r="P40" s="60">
        <f t="shared" si="3"/>
        <v>1999</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7056</v>
      </c>
      <c r="AL40" s="62">
        <v>14402</v>
      </c>
      <c r="AM40" s="62">
        <v>21840</v>
      </c>
    </row>
    <row r="41" spans="2:39" x14ac:dyDescent="0.2">
      <c r="B41" s="57">
        <f t="shared" si="4"/>
        <v>1979</v>
      </c>
      <c r="P41" s="60">
        <f t="shared" si="3"/>
        <v>2000</v>
      </c>
      <c r="Q41" s="61">
        <v>0</v>
      </c>
      <c r="R41" s="61">
        <v>0</v>
      </c>
      <c r="S41" s="61">
        <v>0</v>
      </c>
      <c r="T41" s="61">
        <v>0</v>
      </c>
      <c r="U41" s="61">
        <v>0</v>
      </c>
      <c r="V41" s="61">
        <v>0</v>
      </c>
      <c r="W41" s="61">
        <v>0</v>
      </c>
      <c r="X41" s="61">
        <v>0</v>
      </c>
      <c r="Y41" s="61">
        <v>0</v>
      </c>
      <c r="Z41" s="61">
        <v>0</v>
      </c>
      <c r="AA41" s="61">
        <v>0</v>
      </c>
      <c r="AB41" s="61">
        <v>0</v>
      </c>
      <c r="AC41" s="61">
        <v>0</v>
      </c>
      <c r="AD41" s="61">
        <v>0</v>
      </c>
      <c r="AE41" s="61">
        <v>0</v>
      </c>
      <c r="AF41" s="61">
        <v>0</v>
      </c>
      <c r="AG41" s="61">
        <v>0</v>
      </c>
      <c r="AH41" s="61">
        <v>0</v>
      </c>
      <c r="AI41" s="61">
        <v>0</v>
      </c>
      <c r="AJ41" s="61">
        <v>0</v>
      </c>
      <c r="AK41" s="61">
        <v>0</v>
      </c>
      <c r="AL41" s="62">
        <v>7258</v>
      </c>
      <c r="AM41" s="62">
        <v>14607</v>
      </c>
    </row>
    <row r="42" spans="2:39" x14ac:dyDescent="0.2">
      <c r="B42" s="57">
        <f t="shared" si="4"/>
        <v>1980</v>
      </c>
      <c r="P42" s="60">
        <f t="shared" si="3"/>
        <v>2001</v>
      </c>
      <c r="Q42" s="61">
        <v>0</v>
      </c>
      <c r="R42" s="61">
        <v>0</v>
      </c>
      <c r="S42" s="61">
        <v>0</v>
      </c>
      <c r="T42" s="61">
        <v>0</v>
      </c>
      <c r="U42" s="61">
        <v>0</v>
      </c>
      <c r="V42" s="61">
        <v>0</v>
      </c>
      <c r="W42" s="61">
        <v>0</v>
      </c>
      <c r="X42" s="61">
        <v>0</v>
      </c>
      <c r="Y42" s="61">
        <v>0</v>
      </c>
      <c r="Z42" s="61">
        <v>0</v>
      </c>
      <c r="AA42" s="61">
        <v>0</v>
      </c>
      <c r="AB42" s="61">
        <v>0</v>
      </c>
      <c r="AC42" s="61">
        <v>0</v>
      </c>
      <c r="AD42" s="61">
        <v>0</v>
      </c>
      <c r="AE42" s="61">
        <v>0</v>
      </c>
      <c r="AF42" s="61">
        <v>0</v>
      </c>
      <c r="AG42" s="61">
        <v>0</v>
      </c>
      <c r="AH42" s="61">
        <v>0</v>
      </c>
      <c r="AI42" s="61">
        <v>0</v>
      </c>
      <c r="AJ42" s="61">
        <v>0</v>
      </c>
      <c r="AK42" s="61">
        <v>0</v>
      </c>
      <c r="AL42" s="62">
        <v>0</v>
      </c>
      <c r="AM42" s="62">
        <v>7258</v>
      </c>
    </row>
    <row r="43" spans="2:39" ht="14.25" x14ac:dyDescent="0.2">
      <c r="B43" s="57">
        <f t="shared" si="4"/>
        <v>1981</v>
      </c>
      <c r="X43" s="64"/>
      <c r="Y43" s="64"/>
      <c r="Z43" s="64"/>
      <c r="AA43" s="64"/>
      <c r="AB43" s="64"/>
      <c r="AC43" s="64"/>
      <c r="AD43" s="64"/>
      <c r="AE43" s="64"/>
      <c r="AF43" s="64"/>
    </row>
    <row r="44" spans="2:39" ht="15" x14ac:dyDescent="0.2">
      <c r="B44" s="57">
        <f t="shared" si="4"/>
        <v>1982</v>
      </c>
      <c r="P44" s="140" t="s">
        <v>81</v>
      </c>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row>
    <row r="45" spans="2:39" x14ac:dyDescent="0.2">
      <c r="B45" s="57">
        <f t="shared" si="4"/>
        <v>1983</v>
      </c>
      <c r="P45" s="55"/>
      <c r="Q45" s="56">
        <v>2004</v>
      </c>
      <c r="R45" s="56">
        <v>2005</v>
      </c>
      <c r="S45" s="56">
        <v>2006</v>
      </c>
      <c r="T45" s="56">
        <v>2007</v>
      </c>
      <c r="U45" s="56">
        <v>2008</v>
      </c>
      <c r="V45" s="56">
        <v>2009</v>
      </c>
      <c r="W45" s="56">
        <v>2010</v>
      </c>
      <c r="X45" s="56">
        <v>2011</v>
      </c>
      <c r="Y45" s="56">
        <v>2012</v>
      </c>
      <c r="Z45" s="56">
        <v>2013</v>
      </c>
      <c r="AA45" s="56">
        <v>2014</v>
      </c>
      <c r="AB45" s="56">
        <v>2015</v>
      </c>
      <c r="AC45" s="56">
        <v>2016</v>
      </c>
      <c r="AD45" s="56">
        <v>2017</v>
      </c>
      <c r="AE45" s="56">
        <v>2018</v>
      </c>
      <c r="AF45" s="56">
        <v>2019</v>
      </c>
      <c r="AG45" s="56">
        <v>2020</v>
      </c>
      <c r="AH45" s="56">
        <v>2021</v>
      </c>
      <c r="AI45" s="56">
        <v>2022</v>
      </c>
      <c r="AJ45" s="56">
        <v>2023</v>
      </c>
      <c r="AK45" s="56">
        <v>2024</v>
      </c>
      <c r="AL45" s="56">
        <v>2025</v>
      </c>
      <c r="AM45" s="56">
        <v>2026</v>
      </c>
    </row>
    <row r="46" spans="2:39" x14ac:dyDescent="0.2">
      <c r="B46" s="57">
        <f t="shared" si="4"/>
        <v>1984</v>
      </c>
      <c r="P46" s="60">
        <v>1962</v>
      </c>
      <c r="Q46" s="61">
        <v>130931</v>
      </c>
      <c r="R46" s="62">
        <f t="shared" ref="R46:AK46" si="5">(Q46*VLOOKUP(R$45,$J$3:$M$25,3))+VLOOKUP(R$45,$J$3:$M$25,4)+Q46</f>
        <v>140396.27499999999</v>
      </c>
      <c r="S46" s="62">
        <f t="shared" si="5"/>
        <v>150098.18187500001</v>
      </c>
      <c r="T46" s="62">
        <f t="shared" si="5"/>
        <v>160215.63642187501</v>
      </c>
      <c r="U46" s="62">
        <f t="shared" si="5"/>
        <v>170986.56642347656</v>
      </c>
      <c r="V46" s="62">
        <f t="shared" si="5"/>
        <v>180972.29775194608</v>
      </c>
      <c r="W46" s="62">
        <f t="shared" si="5"/>
        <v>191157.743706985</v>
      </c>
      <c r="X46" s="62">
        <f t="shared" si="5"/>
        <v>201662.8985811247</v>
      </c>
      <c r="Y46" s="62">
        <f t="shared" si="5"/>
        <v>211369.84205984155</v>
      </c>
      <c r="Z46" s="62">
        <f t="shared" si="5"/>
        <v>221279.38969073919</v>
      </c>
      <c r="AA46" s="62">
        <f t="shared" si="5"/>
        <v>231890.77901032713</v>
      </c>
      <c r="AB46" s="62">
        <f t="shared" si="5"/>
        <v>242716.86764300786</v>
      </c>
      <c r="AC46" s="62">
        <f t="shared" si="5"/>
        <v>252518.82848854546</v>
      </c>
      <c r="AD46" s="62">
        <f t="shared" si="5"/>
        <v>261812.01677343092</v>
      </c>
      <c r="AE46" s="62">
        <f t="shared" si="5"/>
        <v>271198.13694116526</v>
      </c>
      <c r="AF46" s="62">
        <f t="shared" si="5"/>
        <v>280736.11831057689</v>
      </c>
      <c r="AG46" s="62">
        <f t="shared" si="5"/>
        <v>290369.47949368268</v>
      </c>
      <c r="AH46" s="62">
        <f t="shared" si="5"/>
        <v>300156.17428861948</v>
      </c>
      <c r="AI46" s="62">
        <f t="shared" si="5"/>
        <v>310040.73603150569</v>
      </c>
      <c r="AJ46" s="62">
        <f t="shared" si="5"/>
        <v>320197.14339182072</v>
      </c>
      <c r="AK46" s="62">
        <f t="shared" si="5"/>
        <v>331255.6076842185</v>
      </c>
      <c r="AL46" s="62">
        <f t="shared" ref="AL46:AM46" si="6">(AK46*VLOOKUP(AL$45,$J$3:$M$25,3))+VLOOKUP(AL$45,$J$3:$M$25,4)+AK46</f>
        <v>342654.30278027122</v>
      </c>
      <c r="AM46" s="62">
        <f t="shared" si="6"/>
        <v>354195.48156502459</v>
      </c>
    </row>
    <row r="47" spans="2:39" x14ac:dyDescent="0.2">
      <c r="B47" s="57">
        <f t="shared" si="4"/>
        <v>1985</v>
      </c>
      <c r="P47" s="60">
        <v>1963</v>
      </c>
      <c r="Q47" s="61">
        <v>123047</v>
      </c>
      <c r="R47" s="62">
        <f t="shared" ref="R47:AK47" si="7">(Q47*VLOOKUP(R$45,$J$3:$M$25,3))+VLOOKUP(R$45,$J$3:$M$25,4)+Q47</f>
        <v>132315.17499999999</v>
      </c>
      <c r="S47" s="62">
        <f t="shared" si="7"/>
        <v>141815.05437499998</v>
      </c>
      <c r="T47" s="62">
        <f t="shared" si="7"/>
        <v>151725.43073437497</v>
      </c>
      <c r="U47" s="62">
        <f t="shared" si="7"/>
        <v>162262.88007957028</v>
      </c>
      <c r="V47" s="62">
        <f t="shared" si="7"/>
        <v>172074.13768116169</v>
      </c>
      <c r="W47" s="62">
        <f t="shared" si="7"/>
        <v>182081.62043478491</v>
      </c>
      <c r="X47" s="62">
        <f t="shared" si="7"/>
        <v>192405.25284348062</v>
      </c>
      <c r="Y47" s="62">
        <f t="shared" si="7"/>
        <v>201973.33163613282</v>
      </c>
      <c r="Z47" s="62">
        <f t="shared" si="7"/>
        <v>211741.9316106748</v>
      </c>
      <c r="AA47" s="62">
        <f t="shared" si="7"/>
        <v>222186.4154138616</v>
      </c>
      <c r="AB47" s="62">
        <f t="shared" si="7"/>
        <v>232842.67768360418</v>
      </c>
      <c r="AC47" s="62">
        <f t="shared" si="7"/>
        <v>242521.21115464924</v>
      </c>
      <c r="AD47" s="62">
        <f t="shared" si="7"/>
        <v>251714.42326619572</v>
      </c>
      <c r="AE47" s="62">
        <f t="shared" si="7"/>
        <v>260999.56749885768</v>
      </c>
      <c r="AF47" s="62">
        <f t="shared" si="7"/>
        <v>270435.56317384628</v>
      </c>
      <c r="AG47" s="62">
        <f t="shared" si="7"/>
        <v>279965.91880558472</v>
      </c>
      <c r="AH47" s="62">
        <f t="shared" si="7"/>
        <v>289648.57799364056</v>
      </c>
      <c r="AI47" s="62">
        <f t="shared" si="7"/>
        <v>299428.06377357699</v>
      </c>
      <c r="AJ47" s="62">
        <f t="shared" si="7"/>
        <v>309478.34441131278</v>
      </c>
      <c r="AK47" s="62">
        <f t="shared" si="7"/>
        <v>320402.82371645421</v>
      </c>
      <c r="AL47" s="62">
        <f t="shared" ref="AL47:AM47" si="8">(AK47*VLOOKUP(AL$45,$J$3:$M$25,3))+VLOOKUP(AL$45,$J$3:$M$25,4)+AK47</f>
        <v>331665.85901290987</v>
      </c>
      <c r="AM47" s="62">
        <f t="shared" si="8"/>
        <v>343069.68225057126</v>
      </c>
    </row>
    <row r="48" spans="2:39" x14ac:dyDescent="0.2">
      <c r="B48" s="57">
        <f t="shared" si="4"/>
        <v>1986</v>
      </c>
      <c r="P48" s="60">
        <f>P47+1</f>
        <v>1964</v>
      </c>
      <c r="Q48" s="61">
        <v>115149</v>
      </c>
      <c r="R48" s="62">
        <f t="shared" ref="R48:AK48" si="9">(Q48*VLOOKUP(R$45,$J$3:$M$25,3))+VLOOKUP(R$45,$J$3:$M$25,4)+Q48</f>
        <v>124219.72500000001</v>
      </c>
      <c r="S48" s="62">
        <f t="shared" si="9"/>
        <v>133517.21812500001</v>
      </c>
      <c r="T48" s="62">
        <f t="shared" si="9"/>
        <v>143220.14857812502</v>
      </c>
      <c r="U48" s="62">
        <f t="shared" si="9"/>
        <v>153523.70266402347</v>
      </c>
      <c r="V48" s="62">
        <f t="shared" si="9"/>
        <v>163160.17671730393</v>
      </c>
      <c r="W48" s="62">
        <f t="shared" si="9"/>
        <v>172989.38025165</v>
      </c>
      <c r="X48" s="62">
        <f t="shared" si="9"/>
        <v>183131.16785668299</v>
      </c>
      <c r="Y48" s="62">
        <f t="shared" si="9"/>
        <v>192560.13537453325</v>
      </c>
      <c r="Z48" s="62">
        <f t="shared" si="9"/>
        <v>202187.53740515123</v>
      </c>
      <c r="AA48" s="62">
        <f t="shared" si="9"/>
        <v>212464.81930974138</v>
      </c>
      <c r="AB48" s="62">
        <f t="shared" si="9"/>
        <v>222950.95364766184</v>
      </c>
      <c r="AC48" s="62">
        <f t="shared" si="9"/>
        <v>232505.84056825761</v>
      </c>
      <c r="AD48" s="62">
        <f t="shared" si="9"/>
        <v>241598.89897394017</v>
      </c>
      <c r="AE48" s="62">
        <f t="shared" si="9"/>
        <v>250782.88796367956</v>
      </c>
      <c r="AF48" s="62">
        <f t="shared" si="9"/>
        <v>260116.71684331636</v>
      </c>
      <c r="AG48" s="62">
        <f t="shared" si="9"/>
        <v>269543.88401174953</v>
      </c>
      <c r="AH48" s="62">
        <f t="shared" si="9"/>
        <v>279122.32285186701</v>
      </c>
      <c r="AI48" s="62">
        <f t="shared" si="9"/>
        <v>288796.54608038568</v>
      </c>
      <c r="AJ48" s="62">
        <f t="shared" si="9"/>
        <v>298740.51154118957</v>
      </c>
      <c r="AK48" s="62">
        <f t="shared" si="9"/>
        <v>309530.76793545444</v>
      </c>
      <c r="AL48" s="62">
        <f t="shared" ref="AL48:AM48" si="10">(AK48*VLOOKUP(AL$45,$J$3:$M$25,3))+VLOOKUP(AL$45,$J$3:$M$25,4)+AK48</f>
        <v>320657.90253464761</v>
      </c>
      <c r="AM48" s="62">
        <f t="shared" si="10"/>
        <v>331924.12631633069</v>
      </c>
    </row>
    <row r="49" spans="2:39" x14ac:dyDescent="0.2">
      <c r="B49" s="57">
        <f t="shared" si="4"/>
        <v>1987</v>
      </c>
      <c r="P49" s="60">
        <f t="shared" ref="P49:P83" si="11">P48+1</f>
        <v>1965</v>
      </c>
      <c r="Q49" s="61">
        <v>107555</v>
      </c>
      <c r="R49" s="62">
        <f t="shared" ref="R49:AK49" si="12">(Q49*VLOOKUP(R$45,$J$3:$M$25,3))+VLOOKUP(R$45,$J$3:$M$25,4)+Q49</f>
        <v>116435.875</v>
      </c>
      <c r="S49" s="62">
        <f t="shared" si="12"/>
        <v>125538.77187500001</v>
      </c>
      <c r="T49" s="62">
        <f t="shared" si="12"/>
        <v>135042.24117187501</v>
      </c>
      <c r="U49" s="62">
        <f t="shared" si="12"/>
        <v>145120.90280410158</v>
      </c>
      <c r="V49" s="62">
        <f t="shared" si="12"/>
        <v>154589.32086018362</v>
      </c>
      <c r="W49" s="62">
        <f t="shared" si="12"/>
        <v>164247.10727738729</v>
      </c>
      <c r="X49" s="62">
        <f t="shared" si="12"/>
        <v>174214.04942293503</v>
      </c>
      <c r="Y49" s="62">
        <f t="shared" si="12"/>
        <v>183509.26016427905</v>
      </c>
      <c r="Z49" s="62">
        <f t="shared" si="12"/>
        <v>193000.89906674324</v>
      </c>
      <c r="AA49" s="62">
        <f t="shared" si="12"/>
        <v>203117.41480041124</v>
      </c>
      <c r="AB49" s="62">
        <f t="shared" si="12"/>
        <v>213439.96955941844</v>
      </c>
      <c r="AC49" s="62">
        <f t="shared" si="12"/>
        <v>222875.96917891118</v>
      </c>
      <c r="AD49" s="62">
        <f t="shared" si="12"/>
        <v>231872.72887070029</v>
      </c>
      <c r="AE49" s="62">
        <f t="shared" si="12"/>
        <v>240959.4561594073</v>
      </c>
      <c r="AF49" s="62">
        <f t="shared" si="12"/>
        <v>250195.05072100137</v>
      </c>
      <c r="AG49" s="62">
        <f t="shared" si="12"/>
        <v>259523.00122821139</v>
      </c>
      <c r="AH49" s="62">
        <f t="shared" si="12"/>
        <v>269001.23124049348</v>
      </c>
      <c r="AI49" s="62">
        <f t="shared" si="12"/>
        <v>278574.24355289841</v>
      </c>
      <c r="AJ49" s="62">
        <f t="shared" si="12"/>
        <v>288415.98598842742</v>
      </c>
      <c r="AK49" s="62">
        <f t="shared" si="12"/>
        <v>299077.18581328273</v>
      </c>
      <c r="AL49" s="62">
        <f t="shared" ref="AL49:AM49" si="13">(AK49*VLOOKUP(AL$45,$J$3:$M$25,3))+VLOOKUP(AL$45,$J$3:$M$25,4)+AK49</f>
        <v>310073.65063594875</v>
      </c>
      <c r="AM49" s="62">
        <f t="shared" si="13"/>
        <v>321207.57126889809</v>
      </c>
    </row>
    <row r="50" spans="2:39" x14ac:dyDescent="0.2">
      <c r="B50" s="57">
        <f t="shared" si="4"/>
        <v>1988</v>
      </c>
      <c r="P50" s="60">
        <f t="shared" si="11"/>
        <v>1966</v>
      </c>
      <c r="Q50" s="61">
        <v>99766</v>
      </c>
      <c r="R50" s="62">
        <f t="shared" ref="R50:AK50" si="14">(Q50*VLOOKUP(R$45,$J$3:$M$25,3))+VLOOKUP(R$45,$J$3:$M$25,4)+Q50</f>
        <v>108452.15</v>
      </c>
      <c r="S50" s="62">
        <f t="shared" si="14"/>
        <v>117355.45374999999</v>
      </c>
      <c r="T50" s="62">
        <f t="shared" si="14"/>
        <v>126654.34009374998</v>
      </c>
      <c r="U50" s="62">
        <f t="shared" si="14"/>
        <v>136502.33444632811</v>
      </c>
      <c r="V50" s="62">
        <f t="shared" si="14"/>
        <v>145798.38113525466</v>
      </c>
      <c r="W50" s="62">
        <f t="shared" si="14"/>
        <v>155280.34875795976</v>
      </c>
      <c r="X50" s="62">
        <f t="shared" si="14"/>
        <v>165067.95573311896</v>
      </c>
      <c r="Y50" s="62">
        <f t="shared" si="14"/>
        <v>174225.97506911575</v>
      </c>
      <c r="Z50" s="62">
        <f t="shared" si="14"/>
        <v>183578.3646951525</v>
      </c>
      <c r="AA50" s="62">
        <f t="shared" si="14"/>
        <v>193529.98607731768</v>
      </c>
      <c r="AB50" s="62">
        <f t="shared" si="14"/>
        <v>203684.76083367073</v>
      </c>
      <c r="AC50" s="62">
        <f t="shared" si="14"/>
        <v>212998.82034409163</v>
      </c>
      <c r="AD50" s="62">
        <f t="shared" si="14"/>
        <v>221896.80854753254</v>
      </c>
      <c r="AE50" s="62">
        <f t="shared" si="14"/>
        <v>230883.77663300786</v>
      </c>
      <c r="AF50" s="62">
        <f t="shared" si="14"/>
        <v>240018.61439933794</v>
      </c>
      <c r="AG50" s="62">
        <f t="shared" si="14"/>
        <v>249244.80054333131</v>
      </c>
      <c r="AH50" s="62">
        <f t="shared" si="14"/>
        <v>258620.24854876462</v>
      </c>
      <c r="AI50" s="62">
        <f t="shared" si="14"/>
        <v>268089.45103425224</v>
      </c>
      <c r="AJ50" s="62">
        <f t="shared" si="14"/>
        <v>277826.34554459475</v>
      </c>
      <c r="AK50" s="62">
        <f t="shared" si="14"/>
        <v>288355.17486390215</v>
      </c>
      <c r="AL50" s="62">
        <f t="shared" ref="AL50:AM50" si="15">(AK50*VLOOKUP(AL$45,$J$3:$M$25,3))+VLOOKUP(AL$45,$J$3:$M$25,4)+AK50</f>
        <v>299217.61454970093</v>
      </c>
      <c r="AM50" s="62">
        <f t="shared" si="15"/>
        <v>310215.83473157219</v>
      </c>
    </row>
    <row r="51" spans="2:39" x14ac:dyDescent="0.2">
      <c r="B51" s="57">
        <f t="shared" si="4"/>
        <v>1989</v>
      </c>
      <c r="P51" s="60">
        <f t="shared" si="11"/>
        <v>1967</v>
      </c>
      <c r="Q51" s="61">
        <v>92277</v>
      </c>
      <c r="R51" s="62">
        <f t="shared" ref="R51:AK51" si="16">(Q51*VLOOKUP(R$45,$J$3:$M$25,3))+VLOOKUP(R$45,$J$3:$M$25,4)+Q51</f>
        <v>100775.925</v>
      </c>
      <c r="S51" s="62">
        <f t="shared" si="16"/>
        <v>109487.323125</v>
      </c>
      <c r="T51" s="62">
        <f t="shared" si="16"/>
        <v>118589.506203125</v>
      </c>
      <c r="U51" s="62">
        <f t="shared" si="16"/>
        <v>128215.71762371094</v>
      </c>
      <c r="V51" s="62">
        <f t="shared" si="16"/>
        <v>137346.03197618516</v>
      </c>
      <c r="W51" s="62">
        <f t="shared" si="16"/>
        <v>146658.95261570887</v>
      </c>
      <c r="X51" s="62">
        <f t="shared" si="16"/>
        <v>156274.13166802304</v>
      </c>
      <c r="Y51" s="62">
        <f t="shared" si="16"/>
        <v>165300.24364304339</v>
      </c>
      <c r="Z51" s="62">
        <f t="shared" si="16"/>
        <v>174518.74729768903</v>
      </c>
      <c r="AA51" s="62">
        <f t="shared" si="16"/>
        <v>184311.82537539859</v>
      </c>
      <c r="AB51" s="62">
        <f t="shared" si="16"/>
        <v>194305.28231946807</v>
      </c>
      <c r="AC51" s="62">
        <f t="shared" si="16"/>
        <v>203502.09834846141</v>
      </c>
      <c r="AD51" s="62">
        <f t="shared" si="16"/>
        <v>212305.11933194601</v>
      </c>
      <c r="AE51" s="62">
        <f t="shared" si="16"/>
        <v>221196.17052526548</v>
      </c>
      <c r="AF51" s="62">
        <f t="shared" si="16"/>
        <v>230234.13223051812</v>
      </c>
      <c r="AG51" s="62">
        <f t="shared" si="16"/>
        <v>239362.4735528233</v>
      </c>
      <c r="AH51" s="62">
        <f t="shared" si="16"/>
        <v>248639.09828835152</v>
      </c>
      <c r="AI51" s="62">
        <f t="shared" si="16"/>
        <v>258008.48927123504</v>
      </c>
      <c r="AJ51" s="62">
        <f t="shared" si="16"/>
        <v>267644.57416394737</v>
      </c>
      <c r="AK51" s="62">
        <f t="shared" si="16"/>
        <v>278046.13134099671</v>
      </c>
      <c r="AL51" s="62">
        <f t="shared" ref="AL51:AM51" si="17">(AK51*VLOOKUP(AL$45,$J$3:$M$25,3))+VLOOKUP(AL$45,$J$3:$M$25,4)+AK51</f>
        <v>288779.70798275917</v>
      </c>
      <c r="AM51" s="62">
        <f t="shared" si="17"/>
        <v>299647.45433254365</v>
      </c>
    </row>
    <row r="52" spans="2:39" x14ac:dyDescent="0.2">
      <c r="B52" s="57">
        <f t="shared" si="4"/>
        <v>1990</v>
      </c>
      <c r="P52" s="60">
        <f t="shared" si="11"/>
        <v>1968</v>
      </c>
      <c r="Q52" s="61">
        <v>84176</v>
      </c>
      <c r="R52" s="62">
        <f t="shared" ref="R52:AK52" si="18">(Q52*VLOOKUP(R$45,$J$3:$M$25,3))+VLOOKUP(R$45,$J$3:$M$25,4)+Q52</f>
        <v>92472.4</v>
      </c>
      <c r="S52" s="62">
        <f t="shared" si="18"/>
        <v>100976.20999999999</v>
      </c>
      <c r="T52" s="62">
        <f t="shared" si="18"/>
        <v>109865.61524999999</v>
      </c>
      <c r="U52" s="62">
        <f t="shared" si="18"/>
        <v>119251.91966937498</v>
      </c>
      <c r="V52" s="62">
        <f t="shared" si="18"/>
        <v>128202.95806276248</v>
      </c>
      <c r="W52" s="62">
        <f t="shared" si="18"/>
        <v>137333.01722401773</v>
      </c>
      <c r="X52" s="62">
        <f t="shared" si="18"/>
        <v>146761.6775684981</v>
      </c>
      <c r="Y52" s="62">
        <f t="shared" si="18"/>
        <v>155645.10273202555</v>
      </c>
      <c r="Z52" s="62">
        <f t="shared" si="18"/>
        <v>164718.77927300593</v>
      </c>
      <c r="AA52" s="62">
        <f t="shared" si="18"/>
        <v>174340.35791028352</v>
      </c>
      <c r="AB52" s="62">
        <f t="shared" si="18"/>
        <v>184159.31417371347</v>
      </c>
      <c r="AC52" s="62">
        <f t="shared" si="18"/>
        <v>193229.30560088489</v>
      </c>
      <c r="AD52" s="62">
        <f t="shared" si="18"/>
        <v>201929.59865689374</v>
      </c>
      <c r="AE52" s="62">
        <f t="shared" si="18"/>
        <v>210716.89464346267</v>
      </c>
      <c r="AF52" s="62">
        <f t="shared" si="18"/>
        <v>219650.0635898973</v>
      </c>
      <c r="AG52" s="62">
        <f t="shared" si="18"/>
        <v>228672.56422579626</v>
      </c>
      <c r="AH52" s="62">
        <f t="shared" si="18"/>
        <v>237842.28986805421</v>
      </c>
      <c r="AI52" s="62">
        <f t="shared" si="18"/>
        <v>247103.71276673477</v>
      </c>
      <c r="AJ52" s="62">
        <f t="shared" si="18"/>
        <v>256630.74989440211</v>
      </c>
      <c r="AK52" s="62">
        <f t="shared" si="18"/>
        <v>266894.63426808215</v>
      </c>
      <c r="AL52" s="62">
        <f t="shared" ref="AL52:AM52" si="19">(AK52*VLOOKUP(AL$45,$J$3:$M$25,3))+VLOOKUP(AL$45,$J$3:$M$25,4)+AK52</f>
        <v>277488.8171964332</v>
      </c>
      <c r="AM52" s="62">
        <f t="shared" si="19"/>
        <v>288215.42741138861</v>
      </c>
    </row>
    <row r="53" spans="2:39" x14ac:dyDescent="0.2">
      <c r="B53" s="57">
        <f t="shared" si="4"/>
        <v>1991</v>
      </c>
      <c r="P53" s="60">
        <f t="shared" si="11"/>
        <v>1969</v>
      </c>
      <c r="Q53" s="61">
        <v>76041</v>
      </c>
      <c r="R53" s="62">
        <f t="shared" ref="R53:AK53" si="20">(Q53*VLOOKUP(R$45,$J$3:$M$25,3))+VLOOKUP(R$45,$J$3:$M$25,4)+Q53</f>
        <v>84134.024999999994</v>
      </c>
      <c r="S53" s="62">
        <f t="shared" si="20"/>
        <v>92429.375624999986</v>
      </c>
      <c r="T53" s="62">
        <f t="shared" si="20"/>
        <v>101105.11001562499</v>
      </c>
      <c r="U53" s="62">
        <f t="shared" si="20"/>
        <v>110250.50054105467</v>
      </c>
      <c r="V53" s="62">
        <f t="shared" si="20"/>
        <v>119021.51055187576</v>
      </c>
      <c r="W53" s="62">
        <f t="shared" si="20"/>
        <v>127967.94076291328</v>
      </c>
      <c r="X53" s="62">
        <f t="shared" si="20"/>
        <v>137209.29957817154</v>
      </c>
      <c r="Y53" s="62">
        <f t="shared" si="20"/>
        <v>145949.43907184413</v>
      </c>
      <c r="Z53" s="62">
        <f t="shared" si="20"/>
        <v>154877.6806579218</v>
      </c>
      <c r="AA53" s="62">
        <f t="shared" si="20"/>
        <v>164327.04006943543</v>
      </c>
      <c r="AB53" s="62">
        <f t="shared" si="20"/>
        <v>173970.76327065055</v>
      </c>
      <c r="AC53" s="62">
        <f t="shared" si="20"/>
        <v>182913.39781153368</v>
      </c>
      <c r="AD53" s="62">
        <f t="shared" si="20"/>
        <v>191510.53178964902</v>
      </c>
      <c r="AE53" s="62">
        <f t="shared" si="20"/>
        <v>200193.63710754551</v>
      </c>
      <c r="AF53" s="62">
        <f t="shared" si="20"/>
        <v>209021.57347862097</v>
      </c>
      <c r="AG53" s="62">
        <f t="shared" si="20"/>
        <v>217937.78921340717</v>
      </c>
      <c r="AH53" s="62">
        <f t="shared" si="20"/>
        <v>227000.16710554124</v>
      </c>
      <c r="AI53" s="62">
        <f t="shared" si="20"/>
        <v>236153.16877659666</v>
      </c>
      <c r="AJ53" s="62">
        <f t="shared" si="20"/>
        <v>245570.70046436263</v>
      </c>
      <c r="AK53" s="62">
        <f t="shared" si="20"/>
        <v>255696.33422016716</v>
      </c>
      <c r="AL53" s="62">
        <f t="shared" ref="AL53:AM53" si="21">(AK53*VLOOKUP(AL$45,$J$3:$M$25,3))+VLOOKUP(AL$45,$J$3:$M$25,4)+AK53</f>
        <v>266150.53839791927</v>
      </c>
      <c r="AM53" s="62">
        <f t="shared" si="21"/>
        <v>276735.42012789327</v>
      </c>
    </row>
    <row r="54" spans="2:39" x14ac:dyDescent="0.2">
      <c r="B54" s="57">
        <f t="shared" si="4"/>
        <v>1992</v>
      </c>
      <c r="P54" s="60">
        <f t="shared" si="11"/>
        <v>1970</v>
      </c>
      <c r="Q54" s="61">
        <v>68218</v>
      </c>
      <c r="R54" s="62">
        <f t="shared" ref="R54:AK54" si="22">(Q54*VLOOKUP(R$45,$J$3:$M$25,3))+VLOOKUP(R$45,$J$3:$M$25,4)+Q54</f>
        <v>76115.45</v>
      </c>
      <c r="S54" s="62">
        <f t="shared" si="22"/>
        <v>84210.336249999993</v>
      </c>
      <c r="T54" s="62">
        <f t="shared" si="22"/>
        <v>92680.594656249988</v>
      </c>
      <c r="U54" s="62">
        <f t="shared" si="22"/>
        <v>101594.31100929686</v>
      </c>
      <c r="V54" s="62">
        <f t="shared" si="22"/>
        <v>110192.19722948279</v>
      </c>
      <c r="W54" s="62">
        <f t="shared" si="22"/>
        <v>118962.04117407244</v>
      </c>
      <c r="X54" s="62">
        <f t="shared" si="22"/>
        <v>128023.28199755389</v>
      </c>
      <c r="Y54" s="62">
        <f t="shared" si="22"/>
        <v>136625.63122751721</v>
      </c>
      <c r="Z54" s="62">
        <f t="shared" si="22"/>
        <v>145414.01569592996</v>
      </c>
      <c r="AA54" s="62">
        <f t="shared" si="22"/>
        <v>154697.76097060874</v>
      </c>
      <c r="AB54" s="62">
        <f t="shared" si="22"/>
        <v>164172.9717875944</v>
      </c>
      <c r="AC54" s="62">
        <f t="shared" si="22"/>
        <v>172993.13393493934</v>
      </c>
      <c r="AD54" s="62">
        <f t="shared" si="22"/>
        <v>181491.06527428873</v>
      </c>
      <c r="AE54" s="62">
        <f t="shared" si="22"/>
        <v>190073.97592703163</v>
      </c>
      <c r="AF54" s="62">
        <f t="shared" si="22"/>
        <v>198800.71568630193</v>
      </c>
      <c r="AG54" s="62">
        <f t="shared" si="22"/>
        <v>207614.72284316496</v>
      </c>
      <c r="AH54" s="62">
        <f t="shared" si="22"/>
        <v>216573.87007159661</v>
      </c>
      <c r="AI54" s="62">
        <f t="shared" si="22"/>
        <v>225622.60877231258</v>
      </c>
      <c r="AJ54" s="62">
        <f t="shared" si="22"/>
        <v>234934.83486003571</v>
      </c>
      <c r="AK54" s="62">
        <f t="shared" si="22"/>
        <v>244927.52029578615</v>
      </c>
      <c r="AL54" s="62">
        <f t="shared" ref="AL54:AM54" si="23">(AK54*VLOOKUP(AL$45,$J$3:$M$25,3))+VLOOKUP(AL$45,$J$3:$M$25,4)+AK54</f>
        <v>255247.11429948348</v>
      </c>
      <c r="AM54" s="62">
        <f t="shared" si="23"/>
        <v>265695.70322822704</v>
      </c>
    </row>
    <row r="55" spans="2:39" x14ac:dyDescent="0.2">
      <c r="B55" s="57">
        <f t="shared" si="4"/>
        <v>1993</v>
      </c>
      <c r="P55" s="60">
        <f t="shared" si="11"/>
        <v>1971</v>
      </c>
      <c r="Q55" s="61">
        <v>60456</v>
      </c>
      <c r="R55" s="62">
        <f t="shared" ref="R55:AK55" si="24">(Q55*VLOOKUP(R$45,$J$3:$M$25,3))+VLOOKUP(R$45,$J$3:$M$25,4)+Q55</f>
        <v>68159.399999999994</v>
      </c>
      <c r="S55" s="62">
        <f t="shared" si="24"/>
        <v>76055.384999999995</v>
      </c>
      <c r="T55" s="62">
        <f t="shared" si="24"/>
        <v>84321.769625000001</v>
      </c>
      <c r="U55" s="62">
        <f t="shared" si="24"/>
        <v>93005.618289687496</v>
      </c>
      <c r="V55" s="62">
        <f t="shared" si="24"/>
        <v>101431.73065548125</v>
      </c>
      <c r="W55" s="62">
        <f t="shared" si="24"/>
        <v>110026.36526859087</v>
      </c>
      <c r="X55" s="62">
        <f t="shared" si="24"/>
        <v>118908.89257396269</v>
      </c>
      <c r="Y55" s="62">
        <f t="shared" si="24"/>
        <v>127374.52596257212</v>
      </c>
      <c r="Z55" s="62">
        <f t="shared" si="24"/>
        <v>136024.14385201072</v>
      </c>
      <c r="AA55" s="62">
        <f t="shared" si="24"/>
        <v>145143.56636942091</v>
      </c>
      <c r="AB55" s="62">
        <f t="shared" si="24"/>
        <v>154451.57878088579</v>
      </c>
      <c r="AC55" s="62">
        <f t="shared" si="24"/>
        <v>163150.22351564685</v>
      </c>
      <c r="AD55" s="62">
        <f t="shared" si="24"/>
        <v>171549.72575080331</v>
      </c>
      <c r="AE55" s="62">
        <f t="shared" si="24"/>
        <v>180033.22300831135</v>
      </c>
      <c r="AF55" s="62">
        <f t="shared" si="24"/>
        <v>188659.55523839447</v>
      </c>
      <c r="AG55" s="62">
        <f t="shared" si="24"/>
        <v>197372.15079077843</v>
      </c>
      <c r="AH55" s="62">
        <f t="shared" si="24"/>
        <v>206228.87229868621</v>
      </c>
      <c r="AI55" s="62">
        <f t="shared" si="24"/>
        <v>215174.16102167306</v>
      </c>
      <c r="AJ55" s="62">
        <f t="shared" si="24"/>
        <v>224381.9026318898</v>
      </c>
      <c r="AK55" s="62">
        <f t="shared" si="24"/>
        <v>234242.67641478841</v>
      </c>
      <c r="AL55" s="62">
        <f t="shared" ref="AL55:AM55" si="25">(AK55*VLOOKUP(AL$45,$J$3:$M$25,3))+VLOOKUP(AL$45,$J$3:$M$25,4)+AK55</f>
        <v>244428.70986997327</v>
      </c>
      <c r="AM55" s="62">
        <f t="shared" si="25"/>
        <v>254742.06874334795</v>
      </c>
    </row>
    <row r="56" spans="2:39" x14ac:dyDescent="0.2">
      <c r="B56" s="57">
        <f t="shared" si="4"/>
        <v>1994</v>
      </c>
      <c r="P56" s="60">
        <f t="shared" si="11"/>
        <v>1972</v>
      </c>
      <c r="Q56" s="61">
        <v>52993</v>
      </c>
      <c r="R56" s="62">
        <f t="shared" ref="R56:AK56" si="26">(Q56*VLOOKUP(R$45,$J$3:$M$25,3))+VLOOKUP(R$45,$J$3:$M$25,4)+Q56</f>
        <v>60509.824999999997</v>
      </c>
      <c r="S56" s="62">
        <f t="shared" si="26"/>
        <v>68214.570624999993</v>
      </c>
      <c r="T56" s="62">
        <f t="shared" si="26"/>
        <v>76284.934890624994</v>
      </c>
      <c r="U56" s="62">
        <f t="shared" si="26"/>
        <v>84747.77060011719</v>
      </c>
      <c r="V56" s="62">
        <f t="shared" si="26"/>
        <v>93008.726012119529</v>
      </c>
      <c r="W56" s="62">
        <f t="shared" si="26"/>
        <v>101434.90053236192</v>
      </c>
      <c r="X56" s="62">
        <f t="shared" si="26"/>
        <v>110145.59854300915</v>
      </c>
      <c r="Y56" s="62">
        <f t="shared" si="26"/>
        <v>118479.78252115429</v>
      </c>
      <c r="Z56" s="62">
        <f t="shared" si="26"/>
        <v>126995.97925897161</v>
      </c>
      <c r="AA56" s="62">
        <f t="shared" si="26"/>
        <v>135957.40889600362</v>
      </c>
      <c r="AB56" s="62">
        <f t="shared" si="26"/>
        <v>145104.66355168368</v>
      </c>
      <c r="AC56" s="62">
        <f t="shared" si="26"/>
        <v>153686.47184607974</v>
      </c>
      <c r="AD56" s="62">
        <f t="shared" si="26"/>
        <v>161991.33656454054</v>
      </c>
      <c r="AE56" s="62">
        <f t="shared" si="26"/>
        <v>170379.24993018594</v>
      </c>
      <c r="AF56" s="62">
        <f t="shared" si="26"/>
        <v>178909.0424294878</v>
      </c>
      <c r="AG56" s="62">
        <f t="shared" si="26"/>
        <v>187524.13285378268</v>
      </c>
      <c r="AH56" s="62">
        <f t="shared" si="26"/>
        <v>196282.37418232049</v>
      </c>
      <c r="AI56" s="62">
        <f t="shared" si="26"/>
        <v>205128.19792414369</v>
      </c>
      <c r="AJ56" s="62">
        <f t="shared" si="26"/>
        <v>214235.47990338513</v>
      </c>
      <c r="AK56" s="62">
        <f t="shared" si="26"/>
        <v>223969.42340217743</v>
      </c>
      <c r="AL56" s="62">
        <f t="shared" ref="AL56:AM56" si="27">(AK56*VLOOKUP(AL$45,$J$3:$M$25,3))+VLOOKUP(AL$45,$J$3:$M$25,4)+AK56</f>
        <v>234027.04119470465</v>
      </c>
      <c r="AM56" s="62">
        <f t="shared" si="27"/>
        <v>244210.37920963846</v>
      </c>
    </row>
    <row r="57" spans="2:39" x14ac:dyDescent="0.2">
      <c r="B57" s="57">
        <f t="shared" si="4"/>
        <v>1995</v>
      </c>
      <c r="P57" s="60">
        <f t="shared" si="11"/>
        <v>1973</v>
      </c>
      <c r="Q57" s="61">
        <v>45632</v>
      </c>
      <c r="R57" s="62">
        <f t="shared" ref="R57:AK57" si="28">(Q57*VLOOKUP(R$45,$J$3:$M$25,3))+VLOOKUP(R$45,$J$3:$M$25,4)+Q57</f>
        <v>52964.800000000003</v>
      </c>
      <c r="S57" s="62">
        <f t="shared" si="28"/>
        <v>60480.920000000006</v>
      </c>
      <c r="T57" s="62">
        <f t="shared" si="28"/>
        <v>68357.942999999999</v>
      </c>
      <c r="U57" s="62">
        <f t="shared" si="28"/>
        <v>76602.786432499997</v>
      </c>
      <c r="V57" s="62">
        <f t="shared" si="28"/>
        <v>84700.842161149994</v>
      </c>
      <c r="W57" s="62">
        <f t="shared" si="28"/>
        <v>92960.859004372993</v>
      </c>
      <c r="X57" s="62">
        <f t="shared" si="28"/>
        <v>101502.07618446046</v>
      </c>
      <c r="Y57" s="62">
        <f t="shared" si="28"/>
        <v>109706.60732722736</v>
      </c>
      <c r="Z57" s="62">
        <f t="shared" si="28"/>
        <v>118091.20643713577</v>
      </c>
      <c r="AA57" s="62">
        <f t="shared" si="28"/>
        <v>126896.80254978564</v>
      </c>
      <c r="AB57" s="62">
        <f t="shared" si="28"/>
        <v>135885.4965944069</v>
      </c>
      <c r="AC57" s="62">
        <f t="shared" si="28"/>
        <v>144352.06530183699</v>
      </c>
      <c r="AD57" s="62">
        <f t="shared" si="28"/>
        <v>152563.58595485537</v>
      </c>
      <c r="AE57" s="62">
        <f t="shared" si="28"/>
        <v>160857.22181440392</v>
      </c>
      <c r="AF57" s="62">
        <f t="shared" si="28"/>
        <v>169291.79403254797</v>
      </c>
      <c r="AG57" s="62">
        <f t="shared" si="28"/>
        <v>177810.71197287345</v>
      </c>
      <c r="AH57" s="62">
        <f t="shared" si="28"/>
        <v>186471.81909260218</v>
      </c>
      <c r="AI57" s="62">
        <f t="shared" si="28"/>
        <v>195219.53728352819</v>
      </c>
      <c r="AJ57" s="62">
        <f t="shared" si="28"/>
        <v>204227.73265636346</v>
      </c>
      <c r="AK57" s="62">
        <f t="shared" si="28"/>
        <v>213836.57931456799</v>
      </c>
      <c r="AL57" s="62">
        <f t="shared" ref="AL57:AM57" si="29">(AK57*VLOOKUP(AL$45,$J$3:$M$25,3))+VLOOKUP(AL$45,$J$3:$M$25,4)+AK57</f>
        <v>223767.53655600009</v>
      </c>
      <c r="AM57" s="62">
        <f t="shared" si="29"/>
        <v>233822.63076295011</v>
      </c>
    </row>
    <row r="58" spans="2:39" x14ac:dyDescent="0.2">
      <c r="B58" s="57">
        <f t="shared" si="4"/>
        <v>1996</v>
      </c>
      <c r="P58" s="60">
        <f t="shared" si="11"/>
        <v>1974</v>
      </c>
      <c r="Q58" s="61">
        <v>38554</v>
      </c>
      <c r="R58" s="62">
        <f t="shared" ref="R58:AK58" si="30">(Q58*VLOOKUP(R$45,$J$3:$M$25,3))+VLOOKUP(R$45,$J$3:$M$25,4)+Q58</f>
        <v>45709.85</v>
      </c>
      <c r="S58" s="62">
        <f t="shared" si="30"/>
        <v>53044.596250000002</v>
      </c>
      <c r="T58" s="62">
        <f t="shared" si="30"/>
        <v>60735.711156249999</v>
      </c>
      <c r="U58" s="62">
        <f t="shared" si="30"/>
        <v>68770.943213046878</v>
      </c>
      <c r="V58" s="62">
        <f t="shared" si="30"/>
        <v>76712.362077307815</v>
      </c>
      <c r="W58" s="62">
        <f t="shared" si="30"/>
        <v>84812.609318853967</v>
      </c>
      <c r="X58" s="62">
        <f t="shared" si="30"/>
        <v>93190.861505231049</v>
      </c>
      <c r="Y58" s="62">
        <f t="shared" si="30"/>
        <v>101270.72442780952</v>
      </c>
      <c r="Z58" s="62">
        <f t="shared" si="30"/>
        <v>109528.78529422666</v>
      </c>
      <c r="AA58" s="62">
        <f t="shared" si="30"/>
        <v>118184.53903687563</v>
      </c>
      <c r="AB58" s="62">
        <f t="shared" si="30"/>
        <v>127020.76847002096</v>
      </c>
      <c r="AC58" s="62">
        <f t="shared" si="30"/>
        <v>135376.52807589623</v>
      </c>
      <c r="AD58" s="62">
        <f t="shared" si="30"/>
        <v>143498.29335665519</v>
      </c>
      <c r="AE58" s="62">
        <f t="shared" si="30"/>
        <v>151701.27629022175</v>
      </c>
      <c r="AF58" s="62">
        <f t="shared" si="30"/>
        <v>160044.28905312397</v>
      </c>
      <c r="AG58" s="62">
        <f t="shared" si="30"/>
        <v>168470.73194365521</v>
      </c>
      <c r="AH58" s="62">
        <f t="shared" si="30"/>
        <v>177038.43926309177</v>
      </c>
      <c r="AI58" s="62">
        <f t="shared" si="30"/>
        <v>185691.82365572269</v>
      </c>
      <c r="AJ58" s="62">
        <f t="shared" si="30"/>
        <v>194604.74189227991</v>
      </c>
      <c r="AK58" s="62">
        <f t="shared" si="30"/>
        <v>204093.3011659334</v>
      </c>
      <c r="AL58" s="62">
        <f t="shared" ref="AL58:AM58" si="31">(AK58*VLOOKUP(AL$45,$J$3:$M$25,3))+VLOOKUP(AL$45,$J$3:$M$25,4)+AK58</f>
        <v>213902.46743050756</v>
      </c>
      <c r="AM58" s="62">
        <f t="shared" si="31"/>
        <v>223834.24827338889</v>
      </c>
    </row>
    <row r="59" spans="2:39" x14ac:dyDescent="0.2">
      <c r="B59" s="57">
        <f t="shared" si="4"/>
        <v>1997</v>
      </c>
      <c r="P59" s="60">
        <f t="shared" si="11"/>
        <v>1975</v>
      </c>
      <c r="Q59" s="61">
        <v>31679</v>
      </c>
      <c r="R59" s="62">
        <f t="shared" ref="R59:AK59" si="32">(Q59*VLOOKUP(R$45,$J$3:$M$25,3))+VLOOKUP(R$45,$J$3:$M$25,4)+Q59</f>
        <v>38662.974999999999</v>
      </c>
      <c r="S59" s="62">
        <f t="shared" si="32"/>
        <v>45821.549375000002</v>
      </c>
      <c r="T59" s="62">
        <f t="shared" si="32"/>
        <v>53332.088109374999</v>
      </c>
      <c r="U59" s="62">
        <f t="shared" si="32"/>
        <v>61163.720532382809</v>
      </c>
      <c r="V59" s="62">
        <f t="shared" si="32"/>
        <v>68952.99494303047</v>
      </c>
      <c r="W59" s="62">
        <f t="shared" si="32"/>
        <v>76898.054841891077</v>
      </c>
      <c r="X59" s="62">
        <f t="shared" si="32"/>
        <v>85118.015938728902</v>
      </c>
      <c r="Y59" s="62">
        <f t="shared" si="32"/>
        <v>93076.78617780983</v>
      </c>
      <c r="Z59" s="62">
        <f t="shared" si="32"/>
        <v>101211.93797047698</v>
      </c>
      <c r="AA59" s="62">
        <f t="shared" si="32"/>
        <v>109722.14688496033</v>
      </c>
      <c r="AB59" s="62">
        <f t="shared" si="32"/>
        <v>118410.28445544714</v>
      </c>
      <c r="AC59" s="62">
        <f t="shared" si="32"/>
        <v>126658.41301114022</v>
      </c>
      <c r="AD59" s="62">
        <f t="shared" si="32"/>
        <v>134692.99714125163</v>
      </c>
      <c r="AE59" s="62">
        <f t="shared" si="32"/>
        <v>142807.92711266415</v>
      </c>
      <c r="AF59" s="62">
        <f t="shared" si="32"/>
        <v>151062.00638379081</v>
      </c>
      <c r="AG59" s="62">
        <f t="shared" si="32"/>
        <v>159398.62644762872</v>
      </c>
      <c r="AH59" s="62">
        <f t="shared" si="32"/>
        <v>167875.61271210501</v>
      </c>
      <c r="AI59" s="62">
        <f t="shared" si="32"/>
        <v>176437.36883922605</v>
      </c>
      <c r="AJ59" s="62">
        <f t="shared" si="32"/>
        <v>185257.74252761831</v>
      </c>
      <c r="AK59" s="62">
        <f t="shared" si="32"/>
        <v>194629.46430921354</v>
      </c>
      <c r="AL59" s="62">
        <f t="shared" ref="AL59:AM59" si="33">(AK59*VLOOKUP(AL$45,$J$3:$M$25,3))+VLOOKUP(AL$45,$J$3:$M$25,4)+AK59</f>
        <v>204320.3326130787</v>
      </c>
      <c r="AM59" s="62">
        <f t="shared" si="33"/>
        <v>214132.3367707422</v>
      </c>
    </row>
    <row r="60" spans="2:39" x14ac:dyDescent="0.2">
      <c r="B60" s="57">
        <f t="shared" si="4"/>
        <v>1998</v>
      </c>
      <c r="P60" s="60">
        <f t="shared" si="11"/>
        <v>1976</v>
      </c>
      <c r="Q60" s="61">
        <v>25069</v>
      </c>
      <c r="R60" s="62">
        <f t="shared" ref="R60:AK60" si="34">(Q60*VLOOKUP(R$45,$J$3:$M$25,3))+VLOOKUP(R$45,$J$3:$M$25,4)+Q60</f>
        <v>31887.724999999999</v>
      </c>
      <c r="S60" s="62">
        <f t="shared" si="34"/>
        <v>38876.918124999997</v>
      </c>
      <c r="T60" s="62">
        <f t="shared" si="34"/>
        <v>46213.841078124999</v>
      </c>
      <c r="U60" s="62">
        <f t="shared" si="34"/>
        <v>53849.721707773439</v>
      </c>
      <c r="V60" s="62">
        <f t="shared" si="34"/>
        <v>61492.716141928904</v>
      </c>
      <c r="W60" s="62">
        <f t="shared" si="34"/>
        <v>69288.570464767487</v>
      </c>
      <c r="X60" s="62">
        <f t="shared" si="34"/>
        <v>77356.34187406284</v>
      </c>
      <c r="Y60" s="62">
        <f t="shared" si="34"/>
        <v>85198.687002173785</v>
      </c>
      <c r="Z60" s="62">
        <f t="shared" si="34"/>
        <v>93215.667307206386</v>
      </c>
      <c r="AA60" s="62">
        <f t="shared" si="34"/>
        <v>101585.9414850825</v>
      </c>
      <c r="AB60" s="62">
        <f t="shared" si="34"/>
        <v>110131.69546107145</v>
      </c>
      <c r="AC60" s="62">
        <f t="shared" si="34"/>
        <v>118276.34165433484</v>
      </c>
      <c r="AD60" s="62">
        <f t="shared" si="34"/>
        <v>126227.1050708782</v>
      </c>
      <c r="AE60" s="62">
        <f t="shared" si="34"/>
        <v>134257.37612158697</v>
      </c>
      <c r="AF60" s="62">
        <f t="shared" si="34"/>
        <v>142425.94988280284</v>
      </c>
      <c r="AG60" s="62">
        <f t="shared" si="34"/>
        <v>150676.20938163088</v>
      </c>
      <c r="AH60" s="62">
        <f t="shared" si="34"/>
        <v>159065.97147544718</v>
      </c>
      <c r="AI60" s="62">
        <f t="shared" si="34"/>
        <v>167539.63119020165</v>
      </c>
      <c r="AJ60" s="62">
        <f t="shared" si="34"/>
        <v>176271.02750210365</v>
      </c>
      <c r="AK60" s="62">
        <f t="shared" si="34"/>
        <v>185530.41534587994</v>
      </c>
      <c r="AL60" s="62">
        <f t="shared" ref="AL60:AM60" si="35">(AK60*VLOOKUP(AL$45,$J$3:$M$25,3))+VLOOKUP(AL$45,$J$3:$M$25,4)+AK60</f>
        <v>195107.54553770344</v>
      </c>
      <c r="AM60" s="62">
        <f t="shared" si="35"/>
        <v>204804.38985692474</v>
      </c>
    </row>
    <row r="61" spans="2:39" x14ac:dyDescent="0.2">
      <c r="B61" s="57">
        <f t="shared" si="4"/>
        <v>1999</v>
      </c>
      <c r="P61" s="60">
        <f t="shared" si="11"/>
        <v>1977</v>
      </c>
      <c r="Q61" s="61">
        <v>18554</v>
      </c>
      <c r="R61" s="62">
        <f t="shared" ref="R61:AK61" si="36">(Q61*VLOOKUP(R$45,$J$3:$M$25,3))+VLOOKUP(R$45,$J$3:$M$25,4)+Q61</f>
        <v>25209.85</v>
      </c>
      <c r="S61" s="62">
        <f t="shared" si="36"/>
        <v>32032.096249999999</v>
      </c>
      <c r="T61" s="62">
        <f t="shared" si="36"/>
        <v>39197.898656249999</v>
      </c>
      <c r="U61" s="62">
        <f t="shared" si="36"/>
        <v>46640.840869296873</v>
      </c>
      <c r="V61" s="62">
        <f t="shared" si="36"/>
        <v>54139.657686682811</v>
      </c>
      <c r="W61" s="62">
        <f t="shared" si="36"/>
        <v>61788.450840416466</v>
      </c>
      <c r="X61" s="62">
        <f t="shared" si="36"/>
        <v>69706.219857224802</v>
      </c>
      <c r="Y61" s="62">
        <f t="shared" si="36"/>
        <v>77433.813155083175</v>
      </c>
      <c r="Z61" s="62">
        <f t="shared" si="36"/>
        <v>85334.320352409428</v>
      </c>
      <c r="AA61" s="62">
        <f t="shared" si="36"/>
        <v>93566.670958576593</v>
      </c>
      <c r="AB61" s="62">
        <f t="shared" si="36"/>
        <v>101972.08770035168</v>
      </c>
      <c r="AC61" s="62">
        <f t="shared" si="36"/>
        <v>110014.73879660608</v>
      </c>
      <c r="AD61" s="62">
        <f t="shared" si="36"/>
        <v>117882.88618457214</v>
      </c>
      <c r="AE61" s="62">
        <f t="shared" si="36"/>
        <v>125829.71504641786</v>
      </c>
      <c r="AF61" s="62">
        <f t="shared" si="36"/>
        <v>133914.01219688205</v>
      </c>
      <c r="AG61" s="62">
        <f t="shared" si="36"/>
        <v>142079.15231885086</v>
      </c>
      <c r="AH61" s="62">
        <f t="shared" si="36"/>
        <v>150382.94384203936</v>
      </c>
      <c r="AI61" s="62">
        <f t="shared" si="36"/>
        <v>158769.77328045975</v>
      </c>
      <c r="AJ61" s="62">
        <f t="shared" si="36"/>
        <v>167413.47101326435</v>
      </c>
      <c r="AK61" s="62">
        <f t="shared" si="36"/>
        <v>176562.13940093014</v>
      </c>
      <c r="AL61" s="62">
        <f t="shared" ref="AL61:AM61" si="37">(AK61*VLOOKUP(AL$45,$J$3:$M$25,3))+VLOOKUP(AL$45,$J$3:$M$25,4)+AK61</f>
        <v>186027.16614344178</v>
      </c>
      <c r="AM61" s="62">
        <f t="shared" si="37"/>
        <v>195610.5057202348</v>
      </c>
    </row>
    <row r="62" spans="2:39" x14ac:dyDescent="0.2">
      <c r="B62" s="57">
        <f t="shared" si="4"/>
        <v>2000</v>
      </c>
      <c r="P62" s="60">
        <f t="shared" si="11"/>
        <v>1978</v>
      </c>
      <c r="Q62" s="61">
        <v>12291</v>
      </c>
      <c r="R62" s="62">
        <f t="shared" ref="R62:AK62" si="38">(Q62*VLOOKUP(R$45,$J$3:$M$25,3))+VLOOKUP(R$45,$J$3:$M$25,4)+Q62</f>
        <v>18790.275000000001</v>
      </c>
      <c r="S62" s="62">
        <f t="shared" si="38"/>
        <v>25452.031875000001</v>
      </c>
      <c r="T62" s="62">
        <f t="shared" si="38"/>
        <v>32453.332671875</v>
      </c>
      <c r="U62" s="62">
        <f t="shared" si="38"/>
        <v>39710.799320351565</v>
      </c>
      <c r="V62" s="62">
        <f t="shared" si="38"/>
        <v>47071.015306758592</v>
      </c>
      <c r="W62" s="62">
        <f t="shared" si="38"/>
        <v>54578.435612893765</v>
      </c>
      <c r="X62" s="62">
        <f t="shared" si="38"/>
        <v>62352.00432515164</v>
      </c>
      <c r="Y62" s="62">
        <f t="shared" si="38"/>
        <v>69969.284390028915</v>
      </c>
      <c r="Z62" s="62">
        <f t="shared" si="38"/>
        <v>77757.823655879343</v>
      </c>
      <c r="AA62" s="62">
        <f t="shared" si="38"/>
        <v>85857.585569857227</v>
      </c>
      <c r="AB62" s="62">
        <f t="shared" si="38"/>
        <v>94128.093317329724</v>
      </c>
      <c r="AC62" s="62">
        <f t="shared" si="38"/>
        <v>102072.69448379634</v>
      </c>
      <c r="AD62" s="62">
        <f t="shared" si="38"/>
        <v>109861.4214286343</v>
      </c>
      <c r="AE62" s="62">
        <f t="shared" si="38"/>
        <v>117728.03564292064</v>
      </c>
      <c r="AF62" s="62">
        <f t="shared" si="38"/>
        <v>125731.31599934986</v>
      </c>
      <c r="AG62" s="62">
        <f t="shared" si="38"/>
        <v>133814.62915934334</v>
      </c>
      <c r="AH62" s="62">
        <f t="shared" si="38"/>
        <v>142035.77545093678</v>
      </c>
      <c r="AI62" s="62">
        <f t="shared" si="38"/>
        <v>150339.13320544615</v>
      </c>
      <c r="AJ62" s="62">
        <f t="shared" si="38"/>
        <v>158898.52453750061</v>
      </c>
      <c r="AK62" s="62">
        <f t="shared" si="38"/>
        <v>167940.75609421937</v>
      </c>
      <c r="AL62" s="62">
        <f t="shared" ref="AL62:AM62" si="39">(AK62*VLOOKUP(AL$45,$J$3:$M$25,3))+VLOOKUP(AL$45,$J$3:$M$25,4)+AK62</f>
        <v>177298.01554539712</v>
      </c>
      <c r="AM62" s="62">
        <f t="shared" si="39"/>
        <v>186772.24073971459</v>
      </c>
    </row>
    <row r="63" spans="2:39" ht="12.75" x14ac:dyDescent="0.2">
      <c r="B63"/>
      <c r="P63" s="60">
        <f t="shared" si="11"/>
        <v>1979</v>
      </c>
      <c r="Q63" s="61">
        <v>6077</v>
      </c>
      <c r="R63" s="62">
        <f t="shared" ref="R63:AK63" si="40">(Q63*VLOOKUP(R$45,$J$3:$M$25,3))+VLOOKUP(R$45,$J$3:$M$25,4)+Q63</f>
        <v>12420.924999999999</v>
      </c>
      <c r="S63" s="62">
        <f t="shared" si="40"/>
        <v>18923.448124999999</v>
      </c>
      <c r="T63" s="62">
        <f t="shared" si="40"/>
        <v>25761.534328124999</v>
      </c>
      <c r="U63" s="62">
        <f t="shared" si="40"/>
        <v>32834.976522148434</v>
      </c>
      <c r="V63" s="62">
        <f t="shared" si="40"/>
        <v>40057.6760525914</v>
      </c>
      <c r="W63" s="62">
        <f t="shared" si="40"/>
        <v>47424.829573643226</v>
      </c>
      <c r="X63" s="62">
        <f t="shared" si="40"/>
        <v>55055.326165116094</v>
      </c>
      <c r="Y63" s="62">
        <f t="shared" si="40"/>
        <v>62563.156057592838</v>
      </c>
      <c r="Z63" s="62">
        <f t="shared" si="40"/>
        <v>70240.603398456733</v>
      </c>
      <c r="AA63" s="62">
        <f t="shared" si="40"/>
        <v>78208.813957929728</v>
      </c>
      <c r="AB63" s="62">
        <f t="shared" si="40"/>
        <v>86345.4682021935</v>
      </c>
      <c r="AC63" s="62">
        <f t="shared" si="40"/>
        <v>94192.786554720922</v>
      </c>
      <c r="AD63" s="62">
        <f t="shared" si="40"/>
        <v>101902.71442026814</v>
      </c>
      <c r="AE63" s="62">
        <f t="shared" si="40"/>
        <v>109689.74156447082</v>
      </c>
      <c r="AF63" s="62">
        <f t="shared" si="40"/>
        <v>117612.63898011553</v>
      </c>
      <c r="AG63" s="62">
        <f t="shared" si="40"/>
        <v>125614.76536991668</v>
      </c>
      <c r="AH63" s="62">
        <f t="shared" si="40"/>
        <v>133753.91302361584</v>
      </c>
      <c r="AI63" s="62">
        <f t="shared" si="40"/>
        <v>141974.45215385201</v>
      </c>
      <c r="AJ63" s="62">
        <f t="shared" si="40"/>
        <v>150450.19667539053</v>
      </c>
      <c r="AK63" s="62">
        <f t="shared" si="40"/>
        <v>159386.82413383291</v>
      </c>
      <c r="AL63" s="62">
        <f t="shared" ref="AL63:AM63" si="41">(AK63*VLOOKUP(AL$45,$J$3:$M$25,3))+VLOOKUP(AL$45,$J$3:$M$25,4)+AK63</f>
        <v>168637.15943550583</v>
      </c>
      <c r="AM63" s="62">
        <f t="shared" si="41"/>
        <v>178003.12392844967</v>
      </c>
    </row>
    <row r="64" spans="2:39" ht="12.75" x14ac:dyDescent="0.2">
      <c r="B64"/>
      <c r="P64" s="60">
        <f t="shared" si="11"/>
        <v>1980</v>
      </c>
      <c r="Q64" s="61">
        <v>0</v>
      </c>
      <c r="R64" s="62">
        <f t="shared" ref="R64:AK64" si="42">(Q64*VLOOKUP(R$45,$J$3:$M$25,3))+VLOOKUP(R$45,$J$3:$M$25,4)+Q64</f>
        <v>6192</v>
      </c>
      <c r="S64" s="62">
        <f t="shared" si="42"/>
        <v>12538.8</v>
      </c>
      <c r="T64" s="62">
        <f t="shared" si="42"/>
        <v>19217.27</v>
      </c>
      <c r="U64" s="62">
        <f t="shared" si="42"/>
        <v>26110.744924999999</v>
      </c>
      <c r="V64" s="62">
        <f t="shared" si="42"/>
        <v>33198.959823500001</v>
      </c>
      <c r="W64" s="62">
        <f t="shared" si="42"/>
        <v>40428.939019969999</v>
      </c>
      <c r="X64" s="62">
        <f t="shared" si="42"/>
        <v>47919.517800369402</v>
      </c>
      <c r="Y64" s="62">
        <f t="shared" si="42"/>
        <v>55320.310567374945</v>
      </c>
      <c r="Z64" s="62">
        <f t="shared" si="42"/>
        <v>62889.115225885573</v>
      </c>
      <c r="AA64" s="62">
        <f t="shared" si="42"/>
        <v>70728.674742338568</v>
      </c>
      <c r="AB64" s="62">
        <f t="shared" si="42"/>
        <v>78734.426550329488</v>
      </c>
      <c r="AC64" s="62">
        <f t="shared" si="42"/>
        <v>86486.606882208609</v>
      </c>
      <c r="AD64" s="62">
        <f t="shared" si="42"/>
        <v>94119.472951030693</v>
      </c>
      <c r="AE64" s="62">
        <f t="shared" si="42"/>
        <v>101828.667680541</v>
      </c>
      <c r="AF64" s="62">
        <f t="shared" si="42"/>
        <v>109672.9543573464</v>
      </c>
      <c r="AG64" s="62">
        <f t="shared" si="42"/>
        <v>117595.68390091987</v>
      </c>
      <c r="AH64" s="62">
        <f t="shared" si="42"/>
        <v>125654.64073992908</v>
      </c>
      <c r="AI64" s="62">
        <f t="shared" si="42"/>
        <v>133794.18714732837</v>
      </c>
      <c r="AJ64" s="62">
        <f t="shared" si="42"/>
        <v>142188.12901880164</v>
      </c>
      <c r="AK64" s="62">
        <f t="shared" si="42"/>
        <v>151021.48063153666</v>
      </c>
      <c r="AL64" s="62">
        <f t="shared" ref="AL64:AM64" si="43">(AK64*VLOOKUP(AL$45,$J$3:$M$25,3))+VLOOKUP(AL$45,$J$3:$M$25,4)+AK64</f>
        <v>160167.24913943087</v>
      </c>
      <c r="AM64" s="62">
        <f t="shared" si="43"/>
        <v>169427.33975367376</v>
      </c>
    </row>
    <row r="65" spans="2:39" ht="12.75" x14ac:dyDescent="0.2">
      <c r="B65"/>
      <c r="P65" s="60">
        <f t="shared" si="11"/>
        <v>1981</v>
      </c>
      <c r="Q65" s="61">
        <v>0</v>
      </c>
      <c r="R65" s="61">
        <v>0</v>
      </c>
      <c r="S65" s="62">
        <f t="shared" ref="S65:AK65" si="44">(R65*VLOOKUP(S$45,$J$3:$M$25,3))+VLOOKUP(S$45,$J$3:$M$25,4)+R65</f>
        <v>6192</v>
      </c>
      <c r="T65" s="62">
        <f t="shared" si="44"/>
        <v>12711.8</v>
      </c>
      <c r="U65" s="62">
        <f t="shared" si="44"/>
        <v>19426.374499999998</v>
      </c>
      <c r="V65" s="62">
        <f t="shared" si="44"/>
        <v>26380.901989999998</v>
      </c>
      <c r="W65" s="62">
        <f t="shared" si="44"/>
        <v>33474.520029799998</v>
      </c>
      <c r="X65" s="62">
        <f t="shared" si="44"/>
        <v>40826.010430395996</v>
      </c>
      <c r="Y65" s="62">
        <f t="shared" si="44"/>
        <v>48120.400586851938</v>
      </c>
      <c r="Z65" s="62">
        <f t="shared" si="44"/>
        <v>55581.206595654716</v>
      </c>
      <c r="AA65" s="62">
        <f t="shared" si="44"/>
        <v>63292.877711078676</v>
      </c>
      <c r="AB65" s="62">
        <f t="shared" si="44"/>
        <v>71168.503071022555</v>
      </c>
      <c r="AC65" s="62">
        <f t="shared" si="44"/>
        <v>78826.109359410329</v>
      </c>
      <c r="AD65" s="62">
        <f t="shared" si="44"/>
        <v>86382.370453004434</v>
      </c>
      <c r="AE65" s="62">
        <f t="shared" si="44"/>
        <v>94014.194157534483</v>
      </c>
      <c r="AF65" s="62">
        <f t="shared" si="44"/>
        <v>101780.33609910983</v>
      </c>
      <c r="AG65" s="62">
        <f t="shared" si="44"/>
        <v>109624.13946010092</v>
      </c>
      <c r="AH65" s="62">
        <f t="shared" si="44"/>
        <v>117603.38085470193</v>
      </c>
      <c r="AI65" s="62">
        <f t="shared" si="44"/>
        <v>125662.41466324894</v>
      </c>
      <c r="AJ65" s="62">
        <f t="shared" si="44"/>
        <v>133975.03880988143</v>
      </c>
      <c r="AK65" s="62">
        <f t="shared" si="44"/>
        <v>142705.72679500494</v>
      </c>
      <c r="AL65" s="62">
        <f t="shared" ref="AL65:AM65" si="45">(AK65*VLOOKUP(AL$45,$J$3:$M$25,3))+VLOOKUP(AL$45,$J$3:$M$25,4)+AK65</f>
        <v>151747.54837994251</v>
      </c>
      <c r="AM65" s="62">
        <f t="shared" si="45"/>
        <v>160902.39273469179</v>
      </c>
    </row>
    <row r="66" spans="2:39" ht="12.75" x14ac:dyDescent="0.2">
      <c r="B66"/>
      <c r="P66" s="60">
        <f t="shared" si="11"/>
        <v>1982</v>
      </c>
      <c r="Q66" s="61">
        <v>0</v>
      </c>
      <c r="R66" s="61">
        <v>0</v>
      </c>
      <c r="S66" s="61">
        <v>0</v>
      </c>
      <c r="T66" s="62">
        <f t="shared" ref="T66:AK66" si="46">(S66*VLOOKUP(T$45,$J$3:$M$25,3))+VLOOKUP(T$45,$J$3:$M$25,4)+S66</f>
        <v>6365</v>
      </c>
      <c r="U66" s="62">
        <f t="shared" si="46"/>
        <v>12905.0375</v>
      </c>
      <c r="V66" s="62">
        <f t="shared" si="46"/>
        <v>19729.13825</v>
      </c>
      <c r="W66" s="62">
        <f t="shared" si="46"/>
        <v>26689.721014999999</v>
      </c>
      <c r="X66" s="62">
        <f t="shared" si="46"/>
        <v>33905.515435299996</v>
      </c>
      <c r="Y66" s="62">
        <f t="shared" si="46"/>
        <v>41096.098166829499</v>
      </c>
      <c r="Z66" s="62">
        <f t="shared" si="46"/>
        <v>48451.539639331939</v>
      </c>
      <c r="AA66" s="62">
        <f t="shared" si="46"/>
        <v>56038.441583020249</v>
      </c>
      <c r="AB66" s="62">
        <f t="shared" si="46"/>
        <v>63787.114310723104</v>
      </c>
      <c r="AC66" s="62">
        <f t="shared" si="46"/>
        <v>71352.453239607144</v>
      </c>
      <c r="AD66" s="62">
        <f t="shared" si="46"/>
        <v>78833.977772003214</v>
      </c>
      <c r="AE66" s="62">
        <f t="shared" si="46"/>
        <v>86390.317549723244</v>
      </c>
      <c r="AF66" s="62">
        <f t="shared" si="46"/>
        <v>94080.220725220483</v>
      </c>
      <c r="AG66" s="62">
        <f t="shared" si="46"/>
        <v>101847.02293247268</v>
      </c>
      <c r="AH66" s="62">
        <f t="shared" si="46"/>
        <v>109748.49316179741</v>
      </c>
      <c r="AI66" s="62">
        <f t="shared" si="46"/>
        <v>117728.97809341538</v>
      </c>
      <c r="AJ66" s="62">
        <f t="shared" si="46"/>
        <v>125962.26787434953</v>
      </c>
      <c r="AK66" s="62">
        <f t="shared" si="46"/>
        <v>134592.79622277891</v>
      </c>
      <c r="AL66" s="62">
        <f t="shared" ref="AL66:AM66" si="47">(AK66*VLOOKUP(AL$45,$J$3:$M$25,3))+VLOOKUP(AL$45,$J$3:$M$25,4)+AK66</f>
        <v>143533.20617556365</v>
      </c>
      <c r="AM66" s="62">
        <f t="shared" si="47"/>
        <v>152585.3712527582</v>
      </c>
    </row>
    <row r="67" spans="2:39" ht="12.75" x14ac:dyDescent="0.2">
      <c r="B67"/>
      <c r="P67" s="60">
        <f t="shared" si="11"/>
        <v>1983</v>
      </c>
      <c r="Q67" s="61">
        <v>0</v>
      </c>
      <c r="R67" s="61">
        <v>0</v>
      </c>
      <c r="S67" s="61">
        <v>0</v>
      </c>
      <c r="T67" s="61">
        <v>0</v>
      </c>
      <c r="U67" s="62">
        <f t="shared" ref="U67:AK67" si="48">(T67*VLOOKUP(U$45,$J$3:$M$25,3))+VLOOKUP(U$45,$J$3:$M$25,4)+T67</f>
        <v>6365</v>
      </c>
      <c r="V67" s="62">
        <f t="shared" si="48"/>
        <v>13058.3</v>
      </c>
      <c r="W67" s="62">
        <f t="shared" si="48"/>
        <v>19885.466</v>
      </c>
      <c r="X67" s="62">
        <f t="shared" si="48"/>
        <v>26965.175320000002</v>
      </c>
      <c r="Y67" s="62">
        <f t="shared" si="48"/>
        <v>34051.652949800002</v>
      </c>
      <c r="Z67" s="62">
        <f t="shared" si="48"/>
        <v>41301.427744047003</v>
      </c>
      <c r="AA67" s="62">
        <f t="shared" si="48"/>
        <v>48763.202729567827</v>
      </c>
      <c r="AB67" s="62">
        <f t="shared" si="48"/>
        <v>56384.558777335267</v>
      </c>
      <c r="AC67" s="62">
        <f t="shared" si="48"/>
        <v>63857.365762051959</v>
      </c>
      <c r="AD67" s="62">
        <f t="shared" si="48"/>
        <v>71263.939419672475</v>
      </c>
      <c r="AE67" s="62">
        <f t="shared" si="48"/>
        <v>78744.578813869201</v>
      </c>
      <c r="AF67" s="62">
        <f t="shared" si="48"/>
        <v>86358.024602007892</v>
      </c>
      <c r="AG67" s="62">
        <f t="shared" si="48"/>
        <v>94047.604848027971</v>
      </c>
      <c r="AH67" s="62">
        <f t="shared" si="48"/>
        <v>101871.08089650825</v>
      </c>
      <c r="AI67" s="62">
        <f t="shared" si="48"/>
        <v>109772.79170547334</v>
      </c>
      <c r="AJ67" s="62">
        <f t="shared" si="48"/>
        <v>117926.51962252808</v>
      </c>
      <c r="AK67" s="62">
        <f t="shared" si="48"/>
        <v>126456.60111780968</v>
      </c>
      <c r="AL67" s="62">
        <f t="shared" ref="AL67:AM67" si="49">(AK67*VLOOKUP(AL$45,$J$3:$M$25,3))+VLOOKUP(AL$45,$J$3:$M$25,4)+AK67</f>
        <v>135295.3086317823</v>
      </c>
      <c r="AM67" s="62">
        <f t="shared" si="49"/>
        <v>144244.49998967958</v>
      </c>
    </row>
    <row r="68" spans="2:39" ht="12.75" x14ac:dyDescent="0.2">
      <c r="B68"/>
      <c r="P68" s="60">
        <f t="shared" si="11"/>
        <v>1984</v>
      </c>
      <c r="Q68" s="61">
        <v>0</v>
      </c>
      <c r="R68" s="61">
        <v>0</v>
      </c>
      <c r="S68" s="61">
        <v>0</v>
      </c>
      <c r="T68" s="61">
        <v>0</v>
      </c>
      <c r="U68" s="61">
        <v>0</v>
      </c>
      <c r="V68" s="62">
        <f t="shared" ref="V68:AK68" si="50">(U68*VLOOKUP(V$45,$J$3:$M$25,3))+VLOOKUP(V$45,$J$3:$M$25,4)+U68</f>
        <v>6566</v>
      </c>
      <c r="W68" s="62">
        <f t="shared" si="50"/>
        <v>13263.32</v>
      </c>
      <c r="X68" s="62">
        <f t="shared" si="50"/>
        <v>20210.5864</v>
      </c>
      <c r="Y68" s="62">
        <f t="shared" si="50"/>
        <v>27195.745196</v>
      </c>
      <c r="Z68" s="62">
        <f t="shared" si="50"/>
        <v>34342.681373940002</v>
      </c>
      <c r="AA68" s="62">
        <f t="shared" si="50"/>
        <v>41682.678297983955</v>
      </c>
      <c r="AB68" s="62">
        <f t="shared" si="50"/>
        <v>49180.125168198676</v>
      </c>
      <c r="AC68" s="62">
        <f t="shared" si="50"/>
        <v>56562.87673280116</v>
      </c>
      <c r="AD68" s="62">
        <f t="shared" si="50"/>
        <v>63896.505500129169</v>
      </c>
      <c r="AE68" s="62">
        <f t="shared" si="50"/>
        <v>71303.470555130465</v>
      </c>
      <c r="AF68" s="62">
        <f t="shared" si="50"/>
        <v>78842.505260681763</v>
      </c>
      <c r="AG68" s="62">
        <f t="shared" si="50"/>
        <v>86456.930313288583</v>
      </c>
      <c r="AH68" s="62">
        <f t="shared" si="50"/>
        <v>94204.499616421468</v>
      </c>
      <c r="AI68" s="62">
        <f t="shared" si="50"/>
        <v>102029.54461258568</v>
      </c>
      <c r="AJ68" s="62">
        <f t="shared" si="50"/>
        <v>110105.84005871155</v>
      </c>
      <c r="AK68" s="62">
        <f t="shared" si="50"/>
        <v>118538.16305944545</v>
      </c>
      <c r="AL68" s="62">
        <f t="shared" ref="AL68:AM68" si="51">(AK68*VLOOKUP(AL$45,$J$3:$M$25,3))+VLOOKUP(AL$45,$J$3:$M$25,4)+AK68</f>
        <v>127277.89009768852</v>
      </c>
      <c r="AM68" s="62">
        <f t="shared" si="51"/>
        <v>136126.86372390963</v>
      </c>
    </row>
    <row r="69" spans="2:39" ht="12.75" x14ac:dyDescent="0.2">
      <c r="B69"/>
      <c r="P69" s="60">
        <f t="shared" si="11"/>
        <v>1985</v>
      </c>
      <c r="Q69" s="61">
        <v>0</v>
      </c>
      <c r="R69" s="61">
        <v>0</v>
      </c>
      <c r="S69" s="61">
        <v>0</v>
      </c>
      <c r="T69" s="61">
        <v>0</v>
      </c>
      <c r="U69" s="61">
        <v>0</v>
      </c>
      <c r="V69" s="61">
        <v>0</v>
      </c>
      <c r="W69" s="62">
        <f t="shared" ref="W69:AK69" si="52">(V69*VLOOKUP(W$45,$J$3:$M$25,3))+VLOOKUP(W$45,$J$3:$M$25,4)+V69</f>
        <v>6566</v>
      </c>
      <c r="X69" s="62">
        <f t="shared" si="52"/>
        <v>13379.32</v>
      </c>
      <c r="Y69" s="62">
        <f t="shared" si="52"/>
        <v>20262.0098</v>
      </c>
      <c r="Z69" s="62">
        <f t="shared" si="52"/>
        <v>27304.939946999999</v>
      </c>
      <c r="AA69" s="62">
        <f t="shared" si="52"/>
        <v>34521.776396072499</v>
      </c>
      <c r="AB69" s="62">
        <f t="shared" si="52"/>
        <v>41893.907483003772</v>
      </c>
      <c r="AC69" s="62">
        <f t="shared" si="52"/>
        <v>49185.581326541316</v>
      </c>
      <c r="AD69" s="62">
        <f t="shared" si="52"/>
        <v>56445.437139806731</v>
      </c>
      <c r="AE69" s="62">
        <f t="shared" si="52"/>
        <v>63777.891511204798</v>
      </c>
      <c r="AF69" s="62">
        <f t="shared" si="52"/>
        <v>71241.67042631685</v>
      </c>
      <c r="AG69" s="62">
        <f t="shared" si="52"/>
        <v>78780.087130580025</v>
      </c>
      <c r="AH69" s="62">
        <f t="shared" si="52"/>
        <v>86450.888001885818</v>
      </c>
      <c r="AI69" s="62">
        <f t="shared" si="52"/>
        <v>94198.396881904671</v>
      </c>
      <c r="AJ69" s="62">
        <f t="shared" si="52"/>
        <v>102196.38085072371</v>
      </c>
      <c r="AK69" s="62">
        <f t="shared" si="52"/>
        <v>110529.83561135776</v>
      </c>
      <c r="AL69" s="62">
        <f t="shared" ref="AL69:AM69" si="53">(AK69*VLOOKUP(AL$45,$J$3:$M$25,3))+VLOOKUP(AL$45,$J$3:$M$25,4)+AK69</f>
        <v>119169.45855649974</v>
      </c>
      <c r="AM69" s="62">
        <f t="shared" si="53"/>
        <v>127917.07678845599</v>
      </c>
    </row>
    <row r="70" spans="2:39" ht="12.75" x14ac:dyDescent="0.2">
      <c r="B70"/>
      <c r="P70" s="60">
        <f t="shared" si="11"/>
        <v>1986</v>
      </c>
      <c r="Q70" s="61">
        <v>0</v>
      </c>
      <c r="R70" s="61">
        <v>0</v>
      </c>
      <c r="S70" s="61">
        <v>0</v>
      </c>
      <c r="T70" s="61">
        <v>0</v>
      </c>
      <c r="U70" s="61">
        <v>0</v>
      </c>
      <c r="V70" s="61">
        <v>0</v>
      </c>
      <c r="W70" s="61">
        <v>0</v>
      </c>
      <c r="X70" s="62">
        <f t="shared" ref="X70:AK70" si="54">(W70*VLOOKUP(X$45,$J$3:$M$25,3))+VLOOKUP(X$45,$J$3:$M$25,4)+W70</f>
        <v>6682</v>
      </c>
      <c r="Y70" s="62">
        <f t="shared" si="54"/>
        <v>13464.23</v>
      </c>
      <c r="Z70" s="62">
        <f t="shared" si="54"/>
        <v>20405.193449999999</v>
      </c>
      <c r="AA70" s="62">
        <f t="shared" si="54"/>
        <v>27501.284335375</v>
      </c>
      <c r="AB70" s="62">
        <f t="shared" si="54"/>
        <v>34750.55681124406</v>
      </c>
      <c r="AC70" s="62">
        <f t="shared" si="54"/>
        <v>41952.938771384608</v>
      </c>
      <c r="AD70" s="62">
        <f t="shared" si="54"/>
        <v>49140.468159098455</v>
      </c>
      <c r="AE70" s="62">
        <f t="shared" si="54"/>
        <v>56399.872840689437</v>
      </c>
      <c r="AF70" s="62">
        <f t="shared" si="54"/>
        <v>63789.871569096329</v>
      </c>
      <c r="AG70" s="62">
        <f t="shared" si="54"/>
        <v>71253.770284787286</v>
      </c>
      <c r="AH70" s="62">
        <f t="shared" si="54"/>
        <v>78849.307987635155</v>
      </c>
      <c r="AI70" s="62">
        <f t="shared" si="54"/>
        <v>86520.801067511507</v>
      </c>
      <c r="AJ70" s="62">
        <f t="shared" si="54"/>
        <v>94442.009078186617</v>
      </c>
      <c r="AK70" s="62">
        <f t="shared" si="54"/>
        <v>102678.53419166394</v>
      </c>
      <c r="AL70" s="62">
        <f t="shared" ref="AL70:AM70" si="55">(AK70*VLOOKUP(AL$45,$J$3:$M$25,3))+VLOOKUP(AL$45,$J$3:$M$25,4)+AK70</f>
        <v>111220.01586905975</v>
      </c>
      <c r="AM70" s="62">
        <f t="shared" si="55"/>
        <v>119868.26606742298</v>
      </c>
    </row>
    <row r="71" spans="2:39" ht="12.75" x14ac:dyDescent="0.2">
      <c r="B71"/>
      <c r="P71" s="60">
        <f t="shared" si="11"/>
        <v>1987</v>
      </c>
      <c r="Q71" s="61">
        <v>0</v>
      </c>
      <c r="R71" s="61">
        <v>0</v>
      </c>
      <c r="S71" s="61">
        <v>0</v>
      </c>
      <c r="T71" s="61">
        <v>0</v>
      </c>
      <c r="U71" s="61">
        <v>0</v>
      </c>
      <c r="V71" s="61">
        <v>0</v>
      </c>
      <c r="W71" s="61">
        <v>0</v>
      </c>
      <c r="X71" s="61">
        <v>0</v>
      </c>
      <c r="Y71" s="62">
        <f t="shared" ref="Y71:AK71" si="56">(X71*VLOOKUP(Y$45,$J$3:$M$25,3))+VLOOKUP(Y$45,$J$3:$M$25,4)+X71</f>
        <v>6682</v>
      </c>
      <c r="Z71" s="62">
        <f t="shared" si="56"/>
        <v>13521.23</v>
      </c>
      <c r="AA71" s="62">
        <f t="shared" si="56"/>
        <v>20496.851524999998</v>
      </c>
      <c r="AB71" s="62">
        <f t="shared" si="56"/>
        <v>27623.546426687499</v>
      </c>
      <c r="AC71" s="62">
        <f t="shared" si="56"/>
        <v>34736.840757021091</v>
      </c>
      <c r="AD71" s="62">
        <f t="shared" si="56"/>
        <v>41852.209164591302</v>
      </c>
      <c r="AE71" s="62">
        <f t="shared" si="56"/>
        <v>49038.731256237217</v>
      </c>
      <c r="AF71" s="62">
        <f t="shared" si="56"/>
        <v>56355.118568799589</v>
      </c>
      <c r="AG71" s="62">
        <f t="shared" si="56"/>
        <v>63744.669754487586</v>
      </c>
      <c r="AH71" s="62">
        <f t="shared" si="56"/>
        <v>71265.116452032467</v>
      </c>
      <c r="AI71" s="62">
        <f t="shared" si="56"/>
        <v>78860.767616552796</v>
      </c>
      <c r="AJ71" s="62">
        <f t="shared" si="56"/>
        <v>86705.375292718323</v>
      </c>
      <c r="AK71" s="62">
        <f t="shared" si="56"/>
        <v>94845.192483877297</v>
      </c>
      <c r="AL71" s="62">
        <f t="shared" ref="AL71:AM71" si="57">(AK71*VLOOKUP(AL$45,$J$3:$M$25,3))+VLOOKUP(AL$45,$J$3:$M$25,4)+AK71</f>
        <v>103288.75738992577</v>
      </c>
      <c r="AM71" s="62">
        <f t="shared" si="57"/>
        <v>111837.86685729984</v>
      </c>
    </row>
    <row r="72" spans="2:39" ht="12.75" x14ac:dyDescent="0.2">
      <c r="B72"/>
      <c r="P72" s="60">
        <f t="shared" si="11"/>
        <v>1988</v>
      </c>
      <c r="Q72" s="61">
        <v>0</v>
      </c>
      <c r="R72" s="61">
        <v>0</v>
      </c>
      <c r="S72" s="61">
        <v>0</v>
      </c>
      <c r="T72" s="61">
        <v>0</v>
      </c>
      <c r="U72" s="61">
        <v>0</v>
      </c>
      <c r="V72" s="61">
        <v>0</v>
      </c>
      <c r="W72" s="61">
        <v>0</v>
      </c>
      <c r="X72" s="61">
        <v>0</v>
      </c>
      <c r="Y72" s="61">
        <v>0</v>
      </c>
      <c r="Z72" s="62">
        <f t="shared" ref="Z72:AK72" si="58">(Y72*VLOOKUP(Z$45,$J$3:$M$25,3))+VLOOKUP(Z$45,$J$3:$M$25,4)+Y72</f>
        <v>6739</v>
      </c>
      <c r="AA72" s="62">
        <f t="shared" si="58"/>
        <v>13595.932499999999</v>
      </c>
      <c r="AB72" s="62">
        <f t="shared" si="58"/>
        <v>20601.861318749998</v>
      </c>
      <c r="AC72" s="62">
        <f t="shared" si="58"/>
        <v>27627.384585234373</v>
      </c>
      <c r="AD72" s="62">
        <f t="shared" si="58"/>
        <v>34671.658431086718</v>
      </c>
      <c r="AE72" s="62">
        <f t="shared" si="58"/>
        <v>41786.375015397585</v>
      </c>
      <c r="AF72" s="62">
        <f t="shared" si="58"/>
        <v>49030.238765551563</v>
      </c>
      <c r="AG72" s="62">
        <f t="shared" si="58"/>
        <v>56346.541153207079</v>
      </c>
      <c r="AH72" s="62">
        <f t="shared" si="58"/>
        <v>63793.006564739153</v>
      </c>
      <c r="AI72" s="62">
        <f t="shared" si="58"/>
        <v>71313.936630386539</v>
      </c>
      <c r="AJ72" s="62">
        <f t="shared" si="58"/>
        <v>79083.075996690401</v>
      </c>
      <c r="AK72" s="62">
        <f t="shared" si="58"/>
        <v>87127.614446649037</v>
      </c>
      <c r="AL72" s="62">
        <f t="shared" ref="AL72:AM72" si="59">(AK72*VLOOKUP(AL$45,$J$3:$M$25,3))+VLOOKUP(AL$45,$J$3:$M$25,4)+AK72</f>
        <v>95474.709627232151</v>
      </c>
      <c r="AM72" s="62">
        <f t="shared" si="59"/>
        <v>103926.14349757256</v>
      </c>
    </row>
    <row r="73" spans="2:39" ht="12.75" x14ac:dyDescent="0.2">
      <c r="B73"/>
      <c r="P73" s="60">
        <f t="shared" si="11"/>
        <v>1989</v>
      </c>
      <c r="Q73" s="61">
        <v>0</v>
      </c>
      <c r="R73" s="61">
        <v>0</v>
      </c>
      <c r="S73" s="61">
        <v>0</v>
      </c>
      <c r="T73" s="61">
        <v>0</v>
      </c>
      <c r="U73" s="61">
        <v>0</v>
      </c>
      <c r="V73" s="61">
        <v>0</v>
      </c>
      <c r="W73" s="61">
        <v>0</v>
      </c>
      <c r="X73" s="61">
        <v>0</v>
      </c>
      <c r="Y73" s="61">
        <v>0</v>
      </c>
      <c r="Z73" s="61">
        <v>0</v>
      </c>
      <c r="AA73" s="62">
        <f t="shared" ref="AA73:AK73" si="60">(Z73*VLOOKUP(AA$45,$J$3:$M$25,3))+VLOOKUP(AA$45,$J$3:$M$25,4)+Z73</f>
        <v>6739</v>
      </c>
      <c r="AB73" s="62">
        <f t="shared" si="60"/>
        <v>13624.932499999999</v>
      </c>
      <c r="AC73" s="62">
        <f t="shared" si="60"/>
        <v>20563.244156249999</v>
      </c>
      <c r="AD73" s="62">
        <f t="shared" si="60"/>
        <v>27536.876597812501</v>
      </c>
      <c r="AE73" s="62">
        <f t="shared" si="60"/>
        <v>34580.245363790629</v>
      </c>
      <c r="AF73" s="62">
        <f t="shared" si="60"/>
        <v>41752.047817428538</v>
      </c>
      <c r="AG73" s="62">
        <f t="shared" si="60"/>
        <v>48995.568295602825</v>
      </c>
      <c r="AH73" s="62">
        <f t="shared" si="60"/>
        <v>56368.523978558849</v>
      </c>
      <c r="AI73" s="62">
        <f t="shared" si="60"/>
        <v>63815.20921834444</v>
      </c>
      <c r="AJ73" s="62">
        <f t="shared" si="60"/>
        <v>71509.361310527878</v>
      </c>
      <c r="AK73" s="62">
        <f t="shared" si="60"/>
        <v>79459.228326909477</v>
      </c>
      <c r="AL73" s="62">
        <f t="shared" ref="AL73:AM73" si="61">(AK73*VLOOKUP(AL$45,$J$3:$M$25,3))+VLOOKUP(AL$45,$J$3:$M$25,4)+AK73</f>
        <v>87710.468680995851</v>
      </c>
      <c r="AM73" s="62">
        <f t="shared" si="61"/>
        <v>96064.849539508301</v>
      </c>
    </row>
    <row r="74" spans="2:39" x14ac:dyDescent="0.2">
      <c r="P74" s="60">
        <f t="shared" si="11"/>
        <v>1990</v>
      </c>
      <c r="Q74" s="61">
        <v>0</v>
      </c>
      <c r="R74" s="61">
        <v>0</v>
      </c>
      <c r="S74" s="61">
        <v>0</v>
      </c>
      <c r="T74" s="61">
        <v>0</v>
      </c>
      <c r="U74" s="61">
        <v>0</v>
      </c>
      <c r="V74" s="61">
        <v>0</v>
      </c>
      <c r="W74" s="61">
        <v>0</v>
      </c>
      <c r="X74" s="61">
        <v>0</v>
      </c>
      <c r="Y74" s="61">
        <v>0</v>
      </c>
      <c r="Z74" s="61">
        <v>0</v>
      </c>
      <c r="AA74" s="61">
        <v>0</v>
      </c>
      <c r="AB74" s="62">
        <f t="shared" ref="AB74:AK74" si="62">(AA74*VLOOKUP(AB$45,$J$3:$M$25,3))+VLOOKUP(AB$45,$J$3:$M$25,4)+AA74</f>
        <v>6768</v>
      </c>
      <c r="AC74" s="62">
        <f t="shared" si="62"/>
        <v>13620.6</v>
      </c>
      <c r="AD74" s="62">
        <f t="shared" si="62"/>
        <v>20524.806</v>
      </c>
      <c r="AE74" s="62">
        <f t="shared" si="62"/>
        <v>27498.054060000002</v>
      </c>
      <c r="AF74" s="62">
        <f t="shared" si="62"/>
        <v>34599.034600600004</v>
      </c>
      <c r="AG74" s="62">
        <f t="shared" si="62"/>
        <v>41771.024946606005</v>
      </c>
      <c r="AH74" s="62">
        <f t="shared" si="62"/>
        <v>49071.735196072063</v>
      </c>
      <c r="AI74" s="62">
        <f t="shared" si="62"/>
        <v>56445.452548032787</v>
      </c>
      <c r="AJ74" s="62">
        <f t="shared" si="62"/>
        <v>64065.907073513117</v>
      </c>
      <c r="AK74" s="62">
        <f t="shared" si="62"/>
        <v>71922.730911932027</v>
      </c>
      <c r="AL74" s="62">
        <f t="shared" ref="AL74:AM74" si="63">(AK74*VLOOKUP(AL$45,$J$3:$M$25,3))+VLOOKUP(AL$45,$J$3:$M$25,4)+AK74</f>
        <v>80079.765048331174</v>
      </c>
      <c r="AM74" s="62">
        <f t="shared" si="63"/>
        <v>88338.76211143531</v>
      </c>
    </row>
    <row r="75" spans="2:39" x14ac:dyDescent="0.2">
      <c r="P75" s="60">
        <f t="shared" si="11"/>
        <v>1991</v>
      </c>
      <c r="Q75" s="61">
        <v>0</v>
      </c>
      <c r="R75" s="61">
        <v>0</v>
      </c>
      <c r="S75" s="61">
        <v>0</v>
      </c>
      <c r="T75" s="61">
        <v>0</v>
      </c>
      <c r="U75" s="61">
        <v>0</v>
      </c>
      <c r="V75" s="61">
        <v>0</v>
      </c>
      <c r="W75" s="61">
        <v>0</v>
      </c>
      <c r="X75" s="61">
        <v>0</v>
      </c>
      <c r="Y75" s="61">
        <v>0</v>
      </c>
      <c r="Z75" s="61">
        <v>0</v>
      </c>
      <c r="AA75" s="61">
        <v>0</v>
      </c>
      <c r="AB75" s="61">
        <v>0</v>
      </c>
      <c r="AC75" s="62">
        <f t="shared" ref="AC75:AK75" si="64">(AB75*VLOOKUP(AC$45,$J$3:$M$25,3))+VLOOKUP(AC$45,$J$3:$M$25,4)+AB75</f>
        <v>6768</v>
      </c>
      <c r="AD75" s="62">
        <f t="shared" si="64"/>
        <v>13603.68</v>
      </c>
      <c r="AE75" s="62">
        <f t="shared" si="64"/>
        <v>20507.716800000002</v>
      </c>
      <c r="AF75" s="62">
        <f t="shared" si="64"/>
        <v>27538.793968000002</v>
      </c>
      <c r="AG75" s="62">
        <f t="shared" si="64"/>
        <v>34640.181907680002</v>
      </c>
      <c r="AH75" s="62">
        <f t="shared" si="64"/>
        <v>41869.583726756799</v>
      </c>
      <c r="AI75" s="62">
        <f t="shared" si="64"/>
        <v>49171.279564024364</v>
      </c>
      <c r="AJ75" s="62">
        <f t="shared" si="64"/>
        <v>56718.992359664611</v>
      </c>
      <c r="AK75" s="62">
        <f t="shared" si="64"/>
        <v>64483.979764160416</v>
      </c>
      <c r="AL75" s="62">
        <f t="shared" ref="AL75:AM75" si="65">(AK75*VLOOKUP(AL$45,$J$3:$M$25,3))+VLOOKUP(AL$45,$J$3:$M$25,4)+AK75</f>
        <v>72548.029511212415</v>
      </c>
      <c r="AM75" s="62">
        <f t="shared" si="65"/>
        <v>80712.87988010257</v>
      </c>
    </row>
    <row r="76" spans="2:39" x14ac:dyDescent="0.2">
      <c r="P76" s="60">
        <f t="shared" si="11"/>
        <v>1992</v>
      </c>
      <c r="Q76" s="61">
        <v>0</v>
      </c>
      <c r="R76" s="61">
        <v>0</v>
      </c>
      <c r="S76" s="61">
        <v>0</v>
      </c>
      <c r="T76" s="61">
        <v>0</v>
      </c>
      <c r="U76" s="61">
        <v>0</v>
      </c>
      <c r="V76" s="61">
        <v>0</v>
      </c>
      <c r="W76" s="61">
        <v>0</v>
      </c>
      <c r="X76" s="61">
        <v>0</v>
      </c>
      <c r="Y76" s="61">
        <v>0</v>
      </c>
      <c r="Z76" s="61">
        <v>0</v>
      </c>
      <c r="AA76" s="61">
        <v>0</v>
      </c>
      <c r="AB76" s="61">
        <v>0</v>
      </c>
      <c r="AC76" s="61">
        <v>0</v>
      </c>
      <c r="AD76" s="62">
        <f t="shared" ref="AD76:AK76" si="66">(AC76*VLOOKUP(AD$45,$J$3:$M$25,3))+VLOOKUP(AD$45,$J$3:$M$25,4)+AC76</f>
        <v>6768</v>
      </c>
      <c r="AE76" s="62">
        <f t="shared" si="66"/>
        <v>13603.68</v>
      </c>
      <c r="AF76" s="62">
        <f t="shared" si="66"/>
        <v>20565.716800000002</v>
      </c>
      <c r="AG76" s="62">
        <f t="shared" si="66"/>
        <v>27597.373968</v>
      </c>
      <c r="AH76" s="62">
        <f t="shared" si="66"/>
        <v>34756.347707679997</v>
      </c>
      <c r="AI76" s="62">
        <f t="shared" si="66"/>
        <v>41986.911184756798</v>
      </c>
      <c r="AJ76" s="62">
        <f t="shared" si="66"/>
        <v>49462.780296604367</v>
      </c>
      <c r="AK76" s="62">
        <f t="shared" si="66"/>
        <v>57137.065050311925</v>
      </c>
      <c r="AL76" s="62">
        <f t="shared" ref="AL76:AM76" si="67">(AK76*VLOOKUP(AL$45,$J$3:$M$25,3))+VLOOKUP(AL$45,$J$3:$M$25,4)+AK76</f>
        <v>65109.278363440826</v>
      </c>
      <c r="AM76" s="62">
        <f t="shared" si="67"/>
        <v>73181.14434298384</v>
      </c>
    </row>
    <row r="77" spans="2:39" x14ac:dyDescent="0.2">
      <c r="P77" s="60">
        <f t="shared" si="11"/>
        <v>1993</v>
      </c>
      <c r="Q77" s="61">
        <v>0</v>
      </c>
      <c r="R77" s="61">
        <v>0</v>
      </c>
      <c r="S77" s="61">
        <v>0</v>
      </c>
      <c r="T77" s="61">
        <v>0</v>
      </c>
      <c r="U77" s="61">
        <v>0</v>
      </c>
      <c r="V77" s="61">
        <v>0</v>
      </c>
      <c r="W77" s="61">
        <v>0</v>
      </c>
      <c r="X77" s="61">
        <v>0</v>
      </c>
      <c r="Y77" s="61">
        <v>0</v>
      </c>
      <c r="Z77" s="61">
        <v>0</v>
      </c>
      <c r="AA77" s="61">
        <v>0</v>
      </c>
      <c r="AB77" s="61">
        <v>0</v>
      </c>
      <c r="AC77" s="61">
        <v>0</v>
      </c>
      <c r="AD77" s="61">
        <v>0</v>
      </c>
      <c r="AE77" s="62">
        <f t="shared" ref="AE77:AK77" si="68">(AD77*VLOOKUP(AE$45,$J$3:$M$25,3))+VLOOKUP(AE$45,$J$3:$M$25,4)+AD77</f>
        <v>6768</v>
      </c>
      <c r="AF77" s="62">
        <f t="shared" si="68"/>
        <v>13661.68</v>
      </c>
      <c r="AG77" s="62">
        <f t="shared" si="68"/>
        <v>20624.2968</v>
      </c>
      <c r="AH77" s="62">
        <f t="shared" si="68"/>
        <v>27713.539768000002</v>
      </c>
      <c r="AI77" s="62">
        <f t="shared" si="68"/>
        <v>34873.675165680004</v>
      </c>
      <c r="AJ77" s="62">
        <f t="shared" si="68"/>
        <v>42278.411917336802</v>
      </c>
      <c r="AK77" s="62">
        <f t="shared" si="68"/>
        <v>49862.89206630351</v>
      </c>
      <c r="AL77" s="62">
        <f t="shared" ref="AL77:AM77" si="69">(AK77*VLOOKUP(AL$45,$J$3:$M$25,3))+VLOOKUP(AL$45,$J$3:$M$25,4)+AK77</f>
        <v>57744.178217132307</v>
      </c>
      <c r="AM77" s="62">
        <f t="shared" si="69"/>
        <v>65723.980444846457</v>
      </c>
    </row>
    <row r="78" spans="2:39" x14ac:dyDescent="0.2">
      <c r="P78" s="60">
        <f t="shared" si="11"/>
        <v>1994</v>
      </c>
      <c r="Q78" s="61">
        <v>0</v>
      </c>
      <c r="R78" s="61">
        <v>0</v>
      </c>
      <c r="S78" s="61">
        <v>0</v>
      </c>
      <c r="T78" s="61">
        <v>0</v>
      </c>
      <c r="U78" s="61">
        <v>0</v>
      </c>
      <c r="V78" s="61">
        <v>0</v>
      </c>
      <c r="W78" s="61">
        <v>0</v>
      </c>
      <c r="X78" s="61">
        <v>0</v>
      </c>
      <c r="Y78" s="61">
        <v>0</v>
      </c>
      <c r="Z78" s="61">
        <v>0</v>
      </c>
      <c r="AA78" s="61">
        <v>0</v>
      </c>
      <c r="AB78" s="61">
        <v>0</v>
      </c>
      <c r="AC78" s="61">
        <v>0</v>
      </c>
      <c r="AD78" s="61">
        <v>0</v>
      </c>
      <c r="AE78" s="61">
        <v>0</v>
      </c>
      <c r="AF78" s="62">
        <f t="shared" ref="AF78:AK78" si="70">(AE78*VLOOKUP(AF$45,$J$3:$M$25,3))+VLOOKUP(AF$45,$J$3:$M$25,4)+AE78</f>
        <v>6826</v>
      </c>
      <c r="AG78" s="62">
        <f t="shared" si="70"/>
        <v>13720.26</v>
      </c>
      <c r="AH78" s="62">
        <f t="shared" si="70"/>
        <v>20740.462599999999</v>
      </c>
      <c r="AI78" s="62">
        <f t="shared" si="70"/>
        <v>27830.867225999998</v>
      </c>
      <c r="AJ78" s="62">
        <f t="shared" si="70"/>
        <v>35165.17589826</v>
      </c>
      <c r="AK78" s="62">
        <f t="shared" si="70"/>
        <v>42660.740596988253</v>
      </c>
      <c r="AL78" s="62">
        <f t="shared" ref="AL78:AM78" si="71">(AK78*VLOOKUP(AL$45,$J$3:$M$25,3))+VLOOKUP(AL$45,$J$3:$M$25,4)+AK78</f>
        <v>50451.999854450609</v>
      </c>
      <c r="AM78" s="62">
        <f t="shared" si="71"/>
        <v>58340.649852631243</v>
      </c>
    </row>
    <row r="79" spans="2:39" x14ac:dyDescent="0.2">
      <c r="P79" s="60">
        <f t="shared" si="11"/>
        <v>1995</v>
      </c>
      <c r="Q79" s="61">
        <v>0</v>
      </c>
      <c r="R79" s="61">
        <v>0</v>
      </c>
      <c r="S79" s="61">
        <v>0</v>
      </c>
      <c r="T79" s="61">
        <v>0</v>
      </c>
      <c r="U79" s="61">
        <v>0</v>
      </c>
      <c r="V79" s="61">
        <v>0</v>
      </c>
      <c r="W79" s="61">
        <v>0</v>
      </c>
      <c r="X79" s="61">
        <v>0</v>
      </c>
      <c r="Y79" s="61">
        <v>0</v>
      </c>
      <c r="Z79" s="61">
        <v>0</v>
      </c>
      <c r="AA79" s="61">
        <v>0</v>
      </c>
      <c r="AB79" s="61">
        <v>0</v>
      </c>
      <c r="AC79" s="61">
        <v>0</v>
      </c>
      <c r="AD79" s="61">
        <v>0</v>
      </c>
      <c r="AE79" s="61">
        <v>0</v>
      </c>
      <c r="AF79" s="61">
        <v>0</v>
      </c>
      <c r="AG79" s="62">
        <f>(AF79*VLOOKUP(AG$45,$J$3:$M$25,3))+VLOOKUP(AG$45,$J$3:$M$25,4)+AF79</f>
        <v>6826</v>
      </c>
      <c r="AH79" s="62">
        <f>(AG79*VLOOKUP(AH$45,$J$3:$M$25,3))+VLOOKUP(AH$45,$J$3:$M$25,4)+AG79</f>
        <v>13777.26</v>
      </c>
      <c r="AI79" s="62">
        <f>(AH79*VLOOKUP(AI$45,$J$3:$M$25,3))+VLOOKUP(AI$45,$J$3:$M$25,4)+AH79</f>
        <v>20798.032599999999</v>
      </c>
      <c r="AJ79" s="62">
        <f>(AI79*VLOOKUP(AJ$45,$J$3:$M$25,3))+VLOOKUP(AJ$45,$J$3:$M$25,4)+AI79</f>
        <v>28062.012925999999</v>
      </c>
      <c r="AK79" s="62">
        <f>(AJ79*VLOOKUP(AK$45,$J$3:$M$25,3))+VLOOKUP(AK$45,$J$3:$M$25,4)+AJ79</f>
        <v>35468.788087574998</v>
      </c>
      <c r="AL79" s="62">
        <f t="shared" ref="AL79:AM79" si="72">(AK79*VLOOKUP(AL$45,$J$3:$M$25,3))+VLOOKUP(AL$45,$J$3:$M$25,4)+AK79</f>
        <v>43170.147938669688</v>
      </c>
      <c r="AM79" s="62">
        <f t="shared" si="72"/>
        <v>50967.774787903058</v>
      </c>
    </row>
    <row r="80" spans="2:39" x14ac:dyDescent="0.2">
      <c r="P80" s="60">
        <f t="shared" si="11"/>
        <v>1996</v>
      </c>
      <c r="Q80" s="61">
        <v>0</v>
      </c>
      <c r="R80" s="61">
        <v>0</v>
      </c>
      <c r="S80" s="61">
        <v>0</v>
      </c>
      <c r="T80" s="61">
        <v>0</v>
      </c>
      <c r="U80" s="61">
        <v>0</v>
      </c>
      <c r="V80" s="61">
        <v>0</v>
      </c>
      <c r="W80" s="61">
        <v>0</v>
      </c>
      <c r="X80" s="61">
        <v>0</v>
      </c>
      <c r="Y80" s="61">
        <v>0</v>
      </c>
      <c r="Z80" s="61">
        <v>0</v>
      </c>
      <c r="AA80" s="61">
        <v>0</v>
      </c>
      <c r="AB80" s="61">
        <v>0</v>
      </c>
      <c r="AC80" s="61">
        <v>0</v>
      </c>
      <c r="AD80" s="61">
        <v>0</v>
      </c>
      <c r="AE80" s="61">
        <v>0</v>
      </c>
      <c r="AF80" s="61">
        <v>0</v>
      </c>
      <c r="AG80" s="61">
        <v>0</v>
      </c>
      <c r="AH80" s="62">
        <f>ROUND((AG80*VLOOKUP(AH$45,$J$3:$M$25,3))+VLOOKUP(AH$45,$J$3:$M$25,4)+AG80,0)</f>
        <v>6883</v>
      </c>
      <c r="AI80" s="62">
        <f>ROUND((AH80*VLOOKUP(AI$45,$J$3:$M$25,3))+VLOOKUP(AI$45,$J$3:$M$25,4)+AH80,0)</f>
        <v>13835</v>
      </c>
      <c r="AJ80" s="62">
        <f>ROUND((AI80*VLOOKUP(AJ$45,$J$3:$M$25,3))+VLOOKUP(AJ$45,$J$3:$M$25,4)+AI80,0)</f>
        <v>21029</v>
      </c>
      <c r="AK80" s="62">
        <f>ROUND((AJ80*VLOOKUP(AK$45,$J$3:$M$25,3))+VLOOKUP(AK$45,$J$3:$M$25,4)+AJ80,0)</f>
        <v>28348</v>
      </c>
      <c r="AL80" s="62">
        <f t="shared" ref="AL80:AM80" si="73">ROUND((AK80*VLOOKUP(AL$45,$J$3:$M$25,3))+VLOOKUP(AL$45,$J$3:$M$25,4)+AK80,0)</f>
        <v>35960</v>
      </c>
      <c r="AM80" s="62">
        <f t="shared" si="73"/>
        <v>43668</v>
      </c>
    </row>
    <row r="81" spans="16:39" x14ac:dyDescent="0.2">
      <c r="P81" s="60">
        <f t="shared" si="11"/>
        <v>1997</v>
      </c>
      <c r="Q81" s="61">
        <v>0</v>
      </c>
      <c r="R81" s="61">
        <v>0</v>
      </c>
      <c r="S81" s="61">
        <v>0</v>
      </c>
      <c r="T81" s="61">
        <v>0</v>
      </c>
      <c r="U81" s="61">
        <v>0</v>
      </c>
      <c r="V81" s="61">
        <v>0</v>
      </c>
      <c r="W81" s="61">
        <v>0</v>
      </c>
      <c r="X81" s="61">
        <v>0</v>
      </c>
      <c r="Y81" s="61">
        <v>0</v>
      </c>
      <c r="Z81" s="61">
        <v>0</v>
      </c>
      <c r="AA81" s="61">
        <v>0</v>
      </c>
      <c r="AB81" s="61">
        <v>0</v>
      </c>
      <c r="AC81" s="61">
        <v>0</v>
      </c>
      <c r="AD81" s="61">
        <v>0</v>
      </c>
      <c r="AE81" s="61">
        <v>0</v>
      </c>
      <c r="AF81" s="61">
        <v>0</v>
      </c>
      <c r="AG81" s="61">
        <v>0</v>
      </c>
      <c r="AH81" s="61">
        <v>0</v>
      </c>
      <c r="AI81" s="62">
        <f>ROUND((AH81*VLOOKUP(AI$45,$J$3:$M$25,3))+VLOOKUP(AI$45,$J$3:$M$25,4)+AH81,0)</f>
        <v>6883</v>
      </c>
      <c r="AJ81" s="62">
        <f>ROUND((AI81*VLOOKUP(AJ$45,$J$3:$M$25,3))+VLOOKUP(AJ$45,$J$3:$M$25,4)+AI81,0)</f>
        <v>14008</v>
      </c>
      <c r="AK81" s="62">
        <f>ROUND((AJ81*VLOOKUP(AK$45,$J$3:$M$25,3))+VLOOKUP(AK$45,$J$3:$M$25,4)+AJ81,0)</f>
        <v>21239</v>
      </c>
      <c r="AL81" s="62">
        <f t="shared" ref="AL81:AM81" si="74">ROUND((AK81*VLOOKUP(AL$45,$J$3:$M$25,3))+VLOOKUP(AL$45,$J$3:$M$25,4)+AK81,0)</f>
        <v>28762</v>
      </c>
      <c r="AM81" s="62">
        <f t="shared" si="74"/>
        <v>36380</v>
      </c>
    </row>
    <row r="82" spans="16:39" x14ac:dyDescent="0.2">
      <c r="P82" s="60">
        <f t="shared" si="11"/>
        <v>1998</v>
      </c>
      <c r="Q82" s="61">
        <v>0</v>
      </c>
      <c r="R82" s="61">
        <v>0</v>
      </c>
      <c r="S82" s="61">
        <v>0</v>
      </c>
      <c r="T82" s="61">
        <v>0</v>
      </c>
      <c r="U82" s="61">
        <v>0</v>
      </c>
      <c r="V82" s="61">
        <v>0</v>
      </c>
      <c r="W82" s="61">
        <v>0</v>
      </c>
      <c r="X82" s="61">
        <v>0</v>
      </c>
      <c r="Y82" s="61">
        <v>0</v>
      </c>
      <c r="Z82" s="61">
        <v>0</v>
      </c>
      <c r="AA82" s="61">
        <v>0</v>
      </c>
      <c r="AB82" s="61">
        <v>0</v>
      </c>
      <c r="AC82" s="61">
        <v>0</v>
      </c>
      <c r="AD82" s="61">
        <v>0</v>
      </c>
      <c r="AE82" s="61">
        <v>0</v>
      </c>
      <c r="AF82" s="61">
        <v>0</v>
      </c>
      <c r="AG82" s="61">
        <v>0</v>
      </c>
      <c r="AH82" s="61">
        <v>0</v>
      </c>
      <c r="AI82" s="61">
        <v>0</v>
      </c>
      <c r="AJ82" s="62">
        <f>ROUND((AI82*VLOOKUP(AJ$45,$J$3:$M$25,3))+VLOOKUP(AJ$45,$J$3:$M$25,4)+AI82,0)</f>
        <v>7056</v>
      </c>
      <c r="AK82" s="62">
        <f>ROUND((AJ82*VLOOKUP(AK$45,$J$3:$M$25,3))+VLOOKUP(AK$45,$J$3:$M$25,4)+AJ82,0)</f>
        <v>14200</v>
      </c>
      <c r="AL82" s="62">
        <f t="shared" ref="AL82:AM82" si="75">ROUND((AK82*VLOOKUP(AL$45,$J$3:$M$25,3))+VLOOKUP(AL$45,$J$3:$M$25,4)+AK82,0)</f>
        <v>21636</v>
      </c>
      <c r="AM82" s="62">
        <f t="shared" si="75"/>
        <v>29164</v>
      </c>
    </row>
    <row r="83" spans="16:39" x14ac:dyDescent="0.2">
      <c r="P83" s="60">
        <f t="shared" si="11"/>
        <v>1999</v>
      </c>
      <c r="Q83" s="61">
        <v>0</v>
      </c>
      <c r="R83" s="61">
        <v>0</v>
      </c>
      <c r="S83" s="61">
        <v>0</v>
      </c>
      <c r="T83" s="61">
        <v>0</v>
      </c>
      <c r="U83" s="61">
        <v>0</v>
      </c>
      <c r="V83" s="61">
        <v>0</v>
      </c>
      <c r="W83" s="61">
        <v>0</v>
      </c>
      <c r="X83" s="61">
        <v>0</v>
      </c>
      <c r="Y83" s="61">
        <v>0</v>
      </c>
      <c r="Z83" s="61">
        <v>0</v>
      </c>
      <c r="AA83" s="61">
        <v>0</v>
      </c>
      <c r="AB83" s="61">
        <v>0</v>
      </c>
      <c r="AC83" s="61">
        <v>0</v>
      </c>
      <c r="AD83" s="61">
        <v>0</v>
      </c>
      <c r="AE83" s="61">
        <v>0</v>
      </c>
      <c r="AF83" s="61">
        <v>0</v>
      </c>
      <c r="AG83" s="61">
        <v>0</v>
      </c>
      <c r="AH83" s="61">
        <v>0</v>
      </c>
      <c r="AI83" s="61">
        <v>0</v>
      </c>
      <c r="AJ83" s="61">
        <v>0</v>
      </c>
      <c r="AK83" s="62">
        <f>ROUND((AJ83*VLOOKUP(AK$45,$J$3:$M$25,3))+VLOOKUP(AK$45,$J$3:$M$25,4)+AJ83,0)</f>
        <v>7056</v>
      </c>
      <c r="AL83" s="62">
        <f t="shared" ref="AL83:AM84" si="76">ROUND((AK83*VLOOKUP(AL$45,$J$3:$M$25,3))+VLOOKUP(AL$45,$J$3:$M$25,4)+AK83,0)</f>
        <v>14402</v>
      </c>
      <c r="AM83" s="62">
        <f t="shared" si="76"/>
        <v>21840</v>
      </c>
    </row>
    <row r="84" spans="16:39" x14ac:dyDescent="0.2">
      <c r="P84" s="63">
        <v>2000</v>
      </c>
      <c r="Q84" s="61">
        <v>0</v>
      </c>
      <c r="R84" s="61">
        <v>0</v>
      </c>
      <c r="S84" s="61">
        <v>0</v>
      </c>
      <c r="T84" s="61">
        <v>0</v>
      </c>
      <c r="U84" s="61">
        <v>0</v>
      </c>
      <c r="V84" s="61">
        <v>0</v>
      </c>
      <c r="W84" s="61">
        <v>0</v>
      </c>
      <c r="X84" s="61">
        <v>0</v>
      </c>
      <c r="Y84" s="61">
        <v>0</v>
      </c>
      <c r="Z84" s="61">
        <v>0</v>
      </c>
      <c r="AA84" s="61">
        <v>0</v>
      </c>
      <c r="AB84" s="61">
        <v>0</v>
      </c>
      <c r="AC84" s="61">
        <v>0</v>
      </c>
      <c r="AD84" s="61">
        <v>0</v>
      </c>
      <c r="AE84" s="61">
        <v>0</v>
      </c>
      <c r="AF84" s="61">
        <v>0</v>
      </c>
      <c r="AG84" s="61">
        <v>0</v>
      </c>
      <c r="AH84" s="61">
        <v>0</v>
      </c>
      <c r="AI84" s="61">
        <v>0</v>
      </c>
      <c r="AJ84" s="61">
        <v>0</v>
      </c>
      <c r="AK84" s="61">
        <v>0</v>
      </c>
      <c r="AL84" s="62">
        <f t="shared" si="76"/>
        <v>7258</v>
      </c>
      <c r="AM84" s="62">
        <f t="shared" ref="AM84" si="77">ROUND((AL84*VLOOKUP(AM$45,$J$3:$M$25,3))+VLOOKUP(AM$45,$J$3:$M$25,4)+AL84,0)</f>
        <v>14607</v>
      </c>
    </row>
    <row r="85" spans="16:39" x14ac:dyDescent="0.2">
      <c r="P85" s="63">
        <v>2000</v>
      </c>
      <c r="Q85" s="61">
        <v>0</v>
      </c>
      <c r="R85" s="61">
        <v>0</v>
      </c>
      <c r="S85" s="61">
        <v>0</v>
      </c>
      <c r="T85" s="61">
        <v>0</v>
      </c>
      <c r="U85" s="61">
        <v>0</v>
      </c>
      <c r="V85" s="61">
        <v>0</v>
      </c>
      <c r="W85" s="61">
        <v>0</v>
      </c>
      <c r="X85" s="61">
        <v>0</v>
      </c>
      <c r="Y85" s="61">
        <v>0</v>
      </c>
      <c r="Z85" s="61">
        <v>0</v>
      </c>
      <c r="AA85" s="61">
        <v>0</v>
      </c>
      <c r="AB85" s="61">
        <v>0</v>
      </c>
      <c r="AC85" s="61">
        <v>0</v>
      </c>
      <c r="AD85" s="61">
        <v>0</v>
      </c>
      <c r="AE85" s="61">
        <v>0</v>
      </c>
      <c r="AF85" s="61">
        <v>0</v>
      </c>
      <c r="AG85" s="61">
        <v>0</v>
      </c>
      <c r="AH85" s="61">
        <v>0</v>
      </c>
      <c r="AI85" s="61">
        <v>0</v>
      </c>
      <c r="AJ85" s="61">
        <v>0</v>
      </c>
      <c r="AK85" s="61">
        <v>0</v>
      </c>
      <c r="AL85" s="61">
        <v>0</v>
      </c>
      <c r="AM85" s="62">
        <f t="shared" ref="AM85" si="78">ROUND((AL85*VLOOKUP(AM$45,$J$3:$M$25,3))+VLOOKUP(AM$45,$J$3:$M$25,4)+AL85,0)</f>
        <v>7258</v>
      </c>
    </row>
    <row r="87" spans="16:39" ht="15" x14ac:dyDescent="0.2">
      <c r="P87" s="140" t="s">
        <v>82</v>
      </c>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row>
    <row r="88" spans="16:39" x14ac:dyDescent="0.2">
      <c r="P88" s="65"/>
      <c r="Q88" s="56">
        <v>2004</v>
      </c>
      <c r="R88" s="56">
        <v>2005</v>
      </c>
      <c r="S88" s="56">
        <v>2006</v>
      </c>
      <c r="T88" s="56">
        <v>2007</v>
      </c>
      <c r="U88" s="56">
        <v>2008</v>
      </c>
      <c r="V88" s="56">
        <v>2009</v>
      </c>
      <c r="W88" s="56">
        <v>2010</v>
      </c>
      <c r="X88" s="56">
        <v>2011</v>
      </c>
      <c r="Y88" s="56">
        <v>2012</v>
      </c>
      <c r="Z88" s="56">
        <v>2013</v>
      </c>
      <c r="AA88" s="56">
        <v>2014</v>
      </c>
      <c r="AB88" s="56">
        <v>2015</v>
      </c>
      <c r="AC88" s="56">
        <v>2016</v>
      </c>
      <c r="AD88" s="56">
        <v>2017</v>
      </c>
      <c r="AE88" s="56">
        <v>2018</v>
      </c>
      <c r="AF88" s="56">
        <v>2019</v>
      </c>
      <c r="AG88" s="56">
        <v>2020</v>
      </c>
      <c r="AH88" s="56">
        <v>2021</v>
      </c>
      <c r="AI88" s="56">
        <v>2022</v>
      </c>
      <c r="AJ88" s="56">
        <v>2023</v>
      </c>
      <c r="AK88" s="56">
        <v>2024</v>
      </c>
      <c r="AL88" s="56">
        <v>2025</v>
      </c>
      <c r="AM88" s="56">
        <v>2025</v>
      </c>
    </row>
    <row r="89" spans="16:39" x14ac:dyDescent="0.2">
      <c r="P89" s="60">
        <v>1962</v>
      </c>
      <c r="Q89" s="66">
        <f t="shared" ref="Q89:AM89" si="79">+Q3-Q46</f>
        <v>0</v>
      </c>
      <c r="R89" s="66">
        <f t="shared" si="79"/>
        <v>0.72500000000582077</v>
      </c>
      <c r="S89" s="66">
        <f t="shared" si="79"/>
        <v>0.81812499999068677</v>
      </c>
      <c r="T89" s="66">
        <f t="shared" si="79"/>
        <v>0.36357812499045394</v>
      </c>
      <c r="U89" s="66">
        <f t="shared" si="79"/>
        <v>0.43357652344275266</v>
      </c>
      <c r="V89" s="66">
        <f t="shared" si="79"/>
        <v>0.70224805391626433</v>
      </c>
      <c r="W89" s="66">
        <f t="shared" si="79"/>
        <v>0.25629301500157453</v>
      </c>
      <c r="X89" s="66">
        <f t="shared" si="79"/>
        <v>0.10141887530335225</v>
      </c>
      <c r="Y89" s="66">
        <f t="shared" si="79"/>
        <v>0.15794015844585374</v>
      </c>
      <c r="Z89" s="66">
        <f t="shared" si="79"/>
        <v>0.6103092608100269</v>
      </c>
      <c r="AA89" s="66">
        <f t="shared" si="79"/>
        <v>0.22098967287456617</v>
      </c>
      <c r="AB89" s="66">
        <f t="shared" si="79"/>
        <v>0.13235699213691987</v>
      </c>
      <c r="AC89" s="66">
        <f t="shared" si="79"/>
        <v>0.17151145453681238</v>
      </c>
      <c r="AD89" s="66">
        <f t="shared" si="79"/>
        <v>0.98322656907839701</v>
      </c>
      <c r="AE89" s="66">
        <f t="shared" si="79"/>
        <v>0.86305883474415168</v>
      </c>
      <c r="AF89" s="66">
        <f t="shared" si="79"/>
        <v>0.88168942311313003</v>
      </c>
      <c r="AG89" s="66">
        <f t="shared" si="79"/>
        <v>0.52050631731981412</v>
      </c>
      <c r="AH89" s="66">
        <f t="shared" si="79"/>
        <v>0.82571138051571324</v>
      </c>
      <c r="AI89" s="66">
        <f t="shared" si="79"/>
        <v>1.2639684943133034</v>
      </c>
      <c r="AJ89" s="66">
        <f t="shared" si="79"/>
        <v>0.85660817928146571</v>
      </c>
      <c r="AK89" s="66">
        <f t="shared" si="79"/>
        <v>1.3923157815006562</v>
      </c>
      <c r="AL89" s="66">
        <f t="shared" si="79"/>
        <v>0.69721972878323868</v>
      </c>
      <c r="AM89" s="66">
        <f t="shared" si="79"/>
        <v>0.51843497541267425</v>
      </c>
    </row>
    <row r="90" spans="16:39" x14ac:dyDescent="0.2">
      <c r="P90" s="60">
        <v>1963</v>
      </c>
      <c r="Q90" s="66">
        <f t="shared" ref="Q90:AM90" si="80">+Q4-Q47</f>
        <v>0</v>
      </c>
      <c r="R90" s="66">
        <f t="shared" si="80"/>
        <v>-0.17499999998835847</v>
      </c>
      <c r="S90" s="66">
        <f t="shared" si="80"/>
        <v>-5.4374999977881089E-2</v>
      </c>
      <c r="T90" s="66">
        <f t="shared" si="80"/>
        <v>-0.43073437496786937</v>
      </c>
      <c r="U90" s="66">
        <f t="shared" si="80"/>
        <v>0.11992042971542105</v>
      </c>
      <c r="V90" s="66">
        <f t="shared" si="80"/>
        <v>-0.13768116169376299</v>
      </c>
      <c r="W90" s="66">
        <f t="shared" si="80"/>
        <v>-0.62043478491250426</v>
      </c>
      <c r="X90" s="66">
        <f t="shared" si="80"/>
        <v>-0.25284348061541095</v>
      </c>
      <c r="Y90" s="66">
        <f t="shared" si="80"/>
        <v>-0.33163613281794824</v>
      </c>
      <c r="Z90" s="66">
        <f t="shared" si="80"/>
        <v>6.8389325198950246E-2</v>
      </c>
      <c r="AA90" s="66">
        <f t="shared" si="80"/>
        <v>-0.41541386159951799</v>
      </c>
      <c r="AB90" s="66">
        <f t="shared" si="80"/>
        <v>-0.67768360418267548</v>
      </c>
      <c r="AC90" s="66">
        <f t="shared" si="80"/>
        <v>-0.21115464923786931</v>
      </c>
      <c r="AD90" s="66">
        <f t="shared" si="80"/>
        <v>-0.42326619572122581</v>
      </c>
      <c r="AE90" s="66">
        <f t="shared" si="80"/>
        <v>-0.56749885767931119</v>
      </c>
      <c r="AF90" s="66">
        <f t="shared" si="80"/>
        <v>-0.5631738462834619</v>
      </c>
      <c r="AG90" s="66">
        <f t="shared" si="80"/>
        <v>8.1194415281061083E-2</v>
      </c>
      <c r="AH90" s="66">
        <f t="shared" si="80"/>
        <v>-0.57799364055972546</v>
      </c>
      <c r="AI90" s="66">
        <f t="shared" si="80"/>
        <v>-6.3773576985113323E-2</v>
      </c>
      <c r="AJ90" s="66">
        <f t="shared" si="80"/>
        <v>-0.34441131277708337</v>
      </c>
      <c r="AK90" s="66">
        <f t="shared" si="80"/>
        <v>0.17628354579210281</v>
      </c>
      <c r="AL90" s="66">
        <f t="shared" si="80"/>
        <v>-0.85901290987385437</v>
      </c>
      <c r="AM90" s="66">
        <f t="shared" si="80"/>
        <v>-0.68225057126255706</v>
      </c>
    </row>
    <row r="91" spans="16:39" x14ac:dyDescent="0.2">
      <c r="P91" s="60">
        <f>P90+1</f>
        <v>1964</v>
      </c>
      <c r="Q91" s="66">
        <f t="shared" ref="Q91:AM91" si="81">+Q5-Q48</f>
        <v>0</v>
      </c>
      <c r="R91" s="66">
        <f t="shared" si="81"/>
        <v>0.27499999999417923</v>
      </c>
      <c r="S91" s="66">
        <f t="shared" si="81"/>
        <v>-0.21812500001396984</v>
      </c>
      <c r="T91" s="66">
        <f t="shared" si="81"/>
        <v>-0.14857812502305023</v>
      </c>
      <c r="U91" s="66">
        <f t="shared" si="81"/>
        <v>0.29733597653103061</v>
      </c>
      <c r="V91" s="66">
        <f t="shared" si="81"/>
        <v>-0.17671730392612517</v>
      </c>
      <c r="W91" s="66">
        <f t="shared" si="81"/>
        <v>-0.38025164999999106</v>
      </c>
      <c r="X91" s="66">
        <f t="shared" si="81"/>
        <v>-0.16785668299417011</v>
      </c>
      <c r="Y91" s="66">
        <f t="shared" si="81"/>
        <v>-0.13537453324533999</v>
      </c>
      <c r="Z91" s="66">
        <f t="shared" si="81"/>
        <v>-0.53740515123354271</v>
      </c>
      <c r="AA91" s="66">
        <f t="shared" si="81"/>
        <v>0.18069025862496346</v>
      </c>
      <c r="AB91" s="66">
        <f t="shared" si="81"/>
        <v>4.6352338162250817E-2</v>
      </c>
      <c r="AC91" s="66">
        <f t="shared" si="81"/>
        <v>0.15943174238782376</v>
      </c>
      <c r="AD91" s="66">
        <f t="shared" si="81"/>
        <v>0.10102605982683599</v>
      </c>
      <c r="AE91" s="66">
        <f t="shared" si="81"/>
        <v>0.11203632043907419</v>
      </c>
      <c r="AF91" s="66">
        <f t="shared" si="81"/>
        <v>0.28315668363939039</v>
      </c>
      <c r="AG91" s="66">
        <f t="shared" si="81"/>
        <v>0.11598825047258288</v>
      </c>
      <c r="AH91" s="66">
        <f t="shared" si="81"/>
        <v>-0.3228518670075573</v>
      </c>
      <c r="AI91" s="66">
        <f t="shared" si="81"/>
        <v>0.45391961431596428</v>
      </c>
      <c r="AJ91" s="66">
        <f t="shared" si="81"/>
        <v>0.4884588104323484</v>
      </c>
      <c r="AK91" s="66">
        <f t="shared" si="81"/>
        <v>0.23206454556202516</v>
      </c>
      <c r="AL91" s="66">
        <f t="shared" si="81"/>
        <v>9.7465352388098836E-2</v>
      </c>
      <c r="AM91" s="66">
        <f t="shared" si="81"/>
        <v>-0.12631633068667725</v>
      </c>
    </row>
    <row r="92" spans="16:39" x14ac:dyDescent="0.2">
      <c r="P92" s="60">
        <f t="shared" ref="P92:P128" si="82">P91+1</f>
        <v>1965</v>
      </c>
      <c r="Q92" s="66">
        <f t="shared" ref="Q92:AM92" si="83">+Q6-Q49</f>
        <v>0</v>
      </c>
      <c r="R92" s="66">
        <f t="shared" si="83"/>
        <v>0.125</v>
      </c>
      <c r="S92" s="66">
        <f t="shared" si="83"/>
        <v>0.22812499999417923</v>
      </c>
      <c r="T92" s="66">
        <f t="shared" si="83"/>
        <v>-0.24117187500814907</v>
      </c>
      <c r="U92" s="66">
        <f t="shared" si="83"/>
        <v>9.7195898415520787E-2</v>
      </c>
      <c r="V92" s="66">
        <f t="shared" si="83"/>
        <v>-0.32086018362315372</v>
      </c>
      <c r="W92" s="66">
        <f t="shared" si="83"/>
        <v>-0.10727738728746772</v>
      </c>
      <c r="X92" s="66">
        <f t="shared" si="83"/>
        <v>-4.9422935029724613E-2</v>
      </c>
      <c r="Y92" s="66">
        <f t="shared" si="83"/>
        <v>-0.26016427905415185</v>
      </c>
      <c r="Z92" s="66">
        <f t="shared" si="83"/>
        <v>0.10093325676280074</v>
      </c>
      <c r="AA92" s="66">
        <f t="shared" si="83"/>
        <v>-0.41480041123577394</v>
      </c>
      <c r="AB92" s="66">
        <f t="shared" si="83"/>
        <v>3.0440581555012614E-2</v>
      </c>
      <c r="AC92" s="66">
        <f t="shared" si="83"/>
        <v>3.0821088817901909E-2</v>
      </c>
      <c r="AD92" s="66">
        <f t="shared" si="83"/>
        <v>0.27112929971190169</v>
      </c>
      <c r="AE92" s="66">
        <f t="shared" si="83"/>
        <v>-0.45615940730203874</v>
      </c>
      <c r="AF92" s="66">
        <f t="shared" si="83"/>
        <v>-5.0721001374768093E-2</v>
      </c>
      <c r="AG92" s="66">
        <f t="shared" si="83"/>
        <v>-1.2282113893888891E-3</v>
      </c>
      <c r="AH92" s="66">
        <f t="shared" si="83"/>
        <v>-0.23124049347825348</v>
      </c>
      <c r="AI92" s="66">
        <f t="shared" si="83"/>
        <v>0.7564471015939489</v>
      </c>
      <c r="AJ92" s="66">
        <f t="shared" si="83"/>
        <v>1.4011572580784559E-2</v>
      </c>
      <c r="AK92" s="66">
        <f t="shared" si="83"/>
        <v>0.8141867172671482</v>
      </c>
      <c r="AL92" s="66">
        <f t="shared" si="83"/>
        <v>0.34936405124608427</v>
      </c>
      <c r="AM92" s="66">
        <f t="shared" si="83"/>
        <v>-0.57126889808569103</v>
      </c>
    </row>
    <row r="93" spans="16:39" x14ac:dyDescent="0.2">
      <c r="P93" s="60">
        <f t="shared" si="82"/>
        <v>1966</v>
      </c>
      <c r="Q93" s="66">
        <f t="shared" ref="Q93:AM93" si="84">+Q7-Q50</f>
        <v>0</v>
      </c>
      <c r="R93" s="66">
        <f t="shared" si="84"/>
        <v>-0.14999999999417923</v>
      </c>
      <c r="S93" s="66">
        <f t="shared" si="84"/>
        <v>0.54625000001396984</v>
      </c>
      <c r="T93" s="66">
        <f t="shared" si="84"/>
        <v>0.65990625001722947</v>
      </c>
      <c r="U93" s="66">
        <f t="shared" si="84"/>
        <v>0.66555367188993841</v>
      </c>
      <c r="V93" s="66">
        <f t="shared" si="84"/>
        <v>0.61886474533821456</v>
      </c>
      <c r="W93" s="66">
        <f t="shared" si="84"/>
        <v>0.65124204024323262</v>
      </c>
      <c r="X93" s="66">
        <f t="shared" si="84"/>
        <v>4.4266881042858586E-2</v>
      </c>
      <c r="Y93" s="66">
        <f t="shared" si="84"/>
        <v>2.4930884246714413E-2</v>
      </c>
      <c r="Z93" s="66">
        <f t="shared" si="84"/>
        <v>0.63530484749935567</v>
      </c>
      <c r="AA93" s="66">
        <f t="shared" si="84"/>
        <v>1.3922682323027402E-2</v>
      </c>
      <c r="AB93" s="66">
        <f t="shared" si="84"/>
        <v>0.23916632926557213</v>
      </c>
      <c r="AC93" s="66">
        <f t="shared" si="84"/>
        <v>0.17965590837411582</v>
      </c>
      <c r="AD93" s="66">
        <f t="shared" si="84"/>
        <v>0.1914524674648419</v>
      </c>
      <c r="AE93" s="66">
        <f t="shared" si="84"/>
        <v>0.22336699214065447</v>
      </c>
      <c r="AF93" s="66">
        <f t="shared" si="84"/>
        <v>0.3856006620626431</v>
      </c>
      <c r="AG93" s="66">
        <f t="shared" si="84"/>
        <v>0.19945666869170964</v>
      </c>
      <c r="AH93" s="66">
        <f t="shared" si="84"/>
        <v>0.75145123538095504</v>
      </c>
      <c r="AI93" s="66">
        <f t="shared" si="84"/>
        <v>0.54896574775921181</v>
      </c>
      <c r="AJ93" s="66">
        <f t="shared" si="84"/>
        <v>0.65445540525251999</v>
      </c>
      <c r="AK93" s="66">
        <f t="shared" si="84"/>
        <v>0.82513609784655273</v>
      </c>
      <c r="AL93" s="66">
        <f t="shared" si="84"/>
        <v>0.38545029907254502</v>
      </c>
      <c r="AM93" s="66">
        <f t="shared" si="84"/>
        <v>0.16526842780876905</v>
      </c>
    </row>
    <row r="94" spans="16:39" x14ac:dyDescent="0.2">
      <c r="P94" s="60">
        <f t="shared" si="82"/>
        <v>1967</v>
      </c>
      <c r="Q94" s="66">
        <f t="shared" ref="Q94:AM94" si="85">+Q8-Q51</f>
        <v>0</v>
      </c>
      <c r="R94" s="66">
        <f t="shared" si="85"/>
        <v>7.4999999997089617E-2</v>
      </c>
      <c r="S94" s="66">
        <f t="shared" si="85"/>
        <v>-0.32312499999534339</v>
      </c>
      <c r="T94" s="66">
        <f t="shared" si="85"/>
        <v>0.49379687500186265</v>
      </c>
      <c r="U94" s="66">
        <f t="shared" si="85"/>
        <v>0.28237628906208556</v>
      </c>
      <c r="V94" s="66">
        <f t="shared" si="85"/>
        <v>-3.1976185156963766E-2</v>
      </c>
      <c r="W94" s="66">
        <f t="shared" si="85"/>
        <v>4.7384291130583733E-2</v>
      </c>
      <c r="X94" s="66">
        <f t="shared" si="85"/>
        <v>-0.13166802303749137</v>
      </c>
      <c r="Y94" s="66">
        <f t="shared" si="85"/>
        <v>-0.24364304338814691</v>
      </c>
      <c r="Z94" s="66">
        <f t="shared" si="85"/>
        <v>0.25270231097238138</v>
      </c>
      <c r="AA94" s="66">
        <f t="shared" si="85"/>
        <v>0.17462460140814073</v>
      </c>
      <c r="AB94" s="66">
        <f t="shared" si="85"/>
        <v>-0.28231946806772612</v>
      </c>
      <c r="AC94" s="66">
        <f t="shared" si="85"/>
        <v>-9.8348461411660537E-2</v>
      </c>
      <c r="AD94" s="66">
        <f t="shared" si="85"/>
        <v>-0.11933194601442665</v>
      </c>
      <c r="AE94" s="66">
        <f t="shared" si="85"/>
        <v>-0.17052526547922753</v>
      </c>
      <c r="AF94" s="66">
        <f t="shared" si="85"/>
        <v>-0.13223051812383346</v>
      </c>
      <c r="AG94" s="66">
        <f t="shared" si="85"/>
        <v>0.52644717670045793</v>
      </c>
      <c r="AH94" s="66">
        <f t="shared" si="85"/>
        <v>-9.8288351524388418E-2</v>
      </c>
      <c r="AI94" s="66">
        <f t="shared" si="85"/>
        <v>0.51072876495891251</v>
      </c>
      <c r="AJ94" s="66">
        <f t="shared" si="85"/>
        <v>0.42583605262916535</v>
      </c>
      <c r="AK94" s="66">
        <f t="shared" si="85"/>
        <v>0.86865900328848511</v>
      </c>
      <c r="AL94" s="66">
        <f t="shared" si="85"/>
        <v>0.29201724083395675</v>
      </c>
      <c r="AM94" s="66">
        <f t="shared" si="85"/>
        <v>0.54566745634656399</v>
      </c>
    </row>
    <row r="95" spans="16:39" x14ac:dyDescent="0.2">
      <c r="P95" s="60">
        <f t="shared" si="82"/>
        <v>1968</v>
      </c>
      <c r="Q95" s="66">
        <f t="shared" ref="Q95:AM95" si="86">+Q9-Q52</f>
        <v>0</v>
      </c>
      <c r="R95" s="66">
        <f t="shared" si="86"/>
        <v>-0.39999999999417923</v>
      </c>
      <c r="S95" s="66">
        <f t="shared" si="86"/>
        <v>-0.20999999999185093</v>
      </c>
      <c r="T95" s="66">
        <f t="shared" si="86"/>
        <v>-0.61524999998800922</v>
      </c>
      <c r="U95" s="66">
        <f t="shared" si="86"/>
        <v>8.0330625016358681E-2</v>
      </c>
      <c r="V95" s="66">
        <f t="shared" si="86"/>
        <v>4.1937237518141046E-2</v>
      </c>
      <c r="W95" s="66">
        <f t="shared" si="86"/>
        <v>-1.7224017734406516E-2</v>
      </c>
      <c r="X95" s="66">
        <f t="shared" si="86"/>
        <v>-0.67756849809666164</v>
      </c>
      <c r="Y95" s="66">
        <f t="shared" si="86"/>
        <v>-0.10273202555254102</v>
      </c>
      <c r="Z95" s="66">
        <f t="shared" si="86"/>
        <v>0.22072699406999163</v>
      </c>
      <c r="AA95" s="66">
        <f t="shared" si="86"/>
        <v>-0.35791028352105059</v>
      </c>
      <c r="AB95" s="66">
        <f t="shared" si="86"/>
        <v>-0.31417371347197331</v>
      </c>
      <c r="AC95" s="66">
        <f t="shared" si="86"/>
        <v>-0.30560088489437476</v>
      </c>
      <c r="AD95" s="66">
        <f t="shared" si="86"/>
        <v>-0.59865689373691566</v>
      </c>
      <c r="AE95" s="66">
        <f t="shared" si="86"/>
        <v>0.10535653732949868</v>
      </c>
      <c r="AF95" s="66">
        <f t="shared" si="86"/>
        <v>-6.3589897297788411E-2</v>
      </c>
      <c r="AG95" s="66">
        <f t="shared" si="86"/>
        <v>-0.56422579626087099</v>
      </c>
      <c r="AH95" s="66">
        <f t="shared" si="86"/>
        <v>-0.28986805421300232</v>
      </c>
      <c r="AI95" s="66">
        <f t="shared" si="86"/>
        <v>0.28723326523322612</v>
      </c>
      <c r="AJ95" s="66">
        <f t="shared" si="86"/>
        <v>0.25010559789370745</v>
      </c>
      <c r="AK95" s="66">
        <f t="shared" si="86"/>
        <v>0.36573191784555092</v>
      </c>
      <c r="AL95" s="66">
        <f t="shared" si="86"/>
        <v>0.18280356680043042</v>
      </c>
      <c r="AM95" s="66">
        <f t="shared" si="86"/>
        <v>-0.42741138860583305</v>
      </c>
    </row>
    <row r="96" spans="16:39" x14ac:dyDescent="0.2">
      <c r="P96" s="60">
        <f t="shared" si="82"/>
        <v>1969</v>
      </c>
      <c r="Q96" s="66">
        <f t="shared" ref="Q96:AM96" si="87">+Q10-Q53</f>
        <v>0</v>
      </c>
      <c r="R96" s="66">
        <f t="shared" si="87"/>
        <v>-2.4999999994179234E-2</v>
      </c>
      <c r="S96" s="66">
        <f t="shared" si="87"/>
        <v>-0.37562499998603016</v>
      </c>
      <c r="T96" s="66">
        <f t="shared" si="87"/>
        <v>-0.1100156249885913</v>
      </c>
      <c r="U96" s="66">
        <f t="shared" si="87"/>
        <v>-0.50054105467279442</v>
      </c>
      <c r="V96" s="66">
        <f t="shared" si="87"/>
        <v>-0.51055187576275785</v>
      </c>
      <c r="W96" s="66">
        <f t="shared" si="87"/>
        <v>-0.94076291327655781</v>
      </c>
      <c r="X96" s="66">
        <f t="shared" si="87"/>
        <v>-0.29957817154354416</v>
      </c>
      <c r="Y96" s="66">
        <f t="shared" si="87"/>
        <v>-0.43907184412819333</v>
      </c>
      <c r="Z96" s="66">
        <f t="shared" si="87"/>
        <v>-0.68065792179550044</v>
      </c>
      <c r="AA96" s="66">
        <f t="shared" si="87"/>
        <v>-1.0400694354320876</v>
      </c>
      <c r="AB96" s="66">
        <f t="shared" si="87"/>
        <v>-0.76327065055374987</v>
      </c>
      <c r="AC96" s="66">
        <f t="shared" si="87"/>
        <v>-0.39781153367948718</v>
      </c>
      <c r="AD96" s="66">
        <f t="shared" si="87"/>
        <v>-0.53178964901599102</v>
      </c>
      <c r="AE96" s="66">
        <f t="shared" si="87"/>
        <v>-0.63710754550993443</v>
      </c>
      <c r="AF96" s="66">
        <f t="shared" si="87"/>
        <v>-0.57347862096503377</v>
      </c>
      <c r="AG96" s="66">
        <f t="shared" si="87"/>
        <v>-0.78921340717351995</v>
      </c>
      <c r="AH96" s="66">
        <f t="shared" si="87"/>
        <v>-0.16710554124438204</v>
      </c>
      <c r="AI96" s="66">
        <f t="shared" si="87"/>
        <v>-0.16877659666351974</v>
      </c>
      <c r="AJ96" s="66">
        <f t="shared" si="87"/>
        <v>0.29953563737217337</v>
      </c>
      <c r="AK96" s="66">
        <f t="shared" si="87"/>
        <v>-0.33422016716212966</v>
      </c>
      <c r="AL96" s="66">
        <f t="shared" si="87"/>
        <v>-0.53839791927020997</v>
      </c>
      <c r="AM96" s="66">
        <f t="shared" si="87"/>
        <v>-0.42012789327418432</v>
      </c>
    </row>
    <row r="97" spans="16:39" x14ac:dyDescent="0.2">
      <c r="P97" s="60">
        <f t="shared" si="82"/>
        <v>1970</v>
      </c>
      <c r="Q97" s="66">
        <f t="shared" ref="Q97:AM97" si="88">+Q11-Q54</f>
        <v>0</v>
      </c>
      <c r="R97" s="66">
        <f t="shared" si="88"/>
        <v>0.55000000000291038</v>
      </c>
      <c r="S97" s="66">
        <f t="shared" si="88"/>
        <v>0.66375000000698492</v>
      </c>
      <c r="T97" s="66">
        <f t="shared" si="88"/>
        <v>0.40534375001152512</v>
      </c>
      <c r="U97" s="66">
        <f t="shared" si="88"/>
        <v>0.68899070314364508</v>
      </c>
      <c r="V97" s="66">
        <f t="shared" si="88"/>
        <v>-0.1972294827864971</v>
      </c>
      <c r="W97" s="66">
        <f t="shared" si="88"/>
        <v>-4.117407243757043E-2</v>
      </c>
      <c r="X97" s="66">
        <f t="shared" si="88"/>
        <v>0.71800244611222297</v>
      </c>
      <c r="Y97" s="66">
        <f t="shared" si="88"/>
        <v>0.36877248279051855</v>
      </c>
      <c r="Z97" s="66">
        <f t="shared" si="88"/>
        <v>-1.5695929963840172E-2</v>
      </c>
      <c r="AA97" s="66">
        <f t="shared" si="88"/>
        <v>0.23902939126128331</v>
      </c>
      <c r="AB97" s="66">
        <f t="shared" si="88"/>
        <v>2.82124055956956E-2</v>
      </c>
      <c r="AC97" s="66">
        <f t="shared" si="88"/>
        <v>-0.13393493933835998</v>
      </c>
      <c r="AD97" s="66">
        <f t="shared" si="88"/>
        <v>-6.5274288732325658E-2</v>
      </c>
      <c r="AE97" s="66">
        <f t="shared" si="88"/>
        <v>2.4072968371910974E-2</v>
      </c>
      <c r="AF97" s="66">
        <f t="shared" si="88"/>
        <v>0.2843136980663985</v>
      </c>
      <c r="AG97" s="66">
        <f t="shared" si="88"/>
        <v>0.27715683504357003</v>
      </c>
      <c r="AH97" s="66">
        <f t="shared" si="88"/>
        <v>0.129928403388476</v>
      </c>
      <c r="AI97" s="66">
        <f t="shared" si="88"/>
        <v>0.39122768741799518</v>
      </c>
      <c r="AJ97" s="66">
        <f t="shared" si="88"/>
        <v>0.16513996428693645</v>
      </c>
      <c r="AK97" s="66">
        <f t="shared" si="88"/>
        <v>0.47970421385252848</v>
      </c>
      <c r="AL97" s="66">
        <f t="shared" si="88"/>
        <v>-0.11429948348086327</v>
      </c>
      <c r="AM97" s="66">
        <f t="shared" si="88"/>
        <v>0.29677177296252921</v>
      </c>
    </row>
    <row r="98" spans="16:39" x14ac:dyDescent="0.2">
      <c r="P98" s="60">
        <f t="shared" si="82"/>
        <v>1971</v>
      </c>
      <c r="Q98" s="66">
        <f t="shared" ref="Q98:AM98" si="89">+Q12-Q55</f>
        <v>0</v>
      </c>
      <c r="R98" s="66">
        <f t="shared" si="89"/>
        <v>0.60000000000582077</v>
      </c>
      <c r="S98" s="66">
        <f t="shared" si="89"/>
        <v>0.61500000000523869</v>
      </c>
      <c r="T98" s="66">
        <f t="shared" si="89"/>
        <v>0.23037499999918509</v>
      </c>
      <c r="U98" s="66">
        <f t="shared" si="89"/>
        <v>0.38171031250385568</v>
      </c>
      <c r="V98" s="66">
        <f t="shared" si="89"/>
        <v>0.26934451874694787</v>
      </c>
      <c r="W98" s="66">
        <f t="shared" si="89"/>
        <v>0.63473140912537929</v>
      </c>
      <c r="X98" s="66">
        <f t="shared" si="89"/>
        <v>0.1074260373134166</v>
      </c>
      <c r="Y98" s="66">
        <f t="shared" si="89"/>
        <v>0.47403742787719239</v>
      </c>
      <c r="Z98" s="66">
        <f t="shared" si="89"/>
        <v>0.85614798928145319</v>
      </c>
      <c r="AA98" s="66">
        <f t="shared" si="89"/>
        <v>0.43363057909300551</v>
      </c>
      <c r="AB98" s="66">
        <f t="shared" si="89"/>
        <v>0.4212191142141819</v>
      </c>
      <c r="AC98" s="66">
        <f t="shared" si="89"/>
        <v>0.77648435314767994</v>
      </c>
      <c r="AD98" s="66">
        <f t="shared" si="89"/>
        <v>0.27424919669283554</v>
      </c>
      <c r="AE98" s="66">
        <f t="shared" si="89"/>
        <v>0.77699168864637613</v>
      </c>
      <c r="AF98" s="66">
        <f t="shared" si="89"/>
        <v>0.44476160552585497</v>
      </c>
      <c r="AG98" s="66">
        <f t="shared" si="89"/>
        <v>0.84920922157471068</v>
      </c>
      <c r="AH98" s="66">
        <f t="shared" si="89"/>
        <v>1.1277013137878384</v>
      </c>
      <c r="AI98" s="66">
        <f t="shared" si="89"/>
        <v>0.8389783269376494</v>
      </c>
      <c r="AJ98" s="66">
        <f t="shared" si="89"/>
        <v>1.0973681102041155</v>
      </c>
      <c r="AK98" s="66">
        <f t="shared" si="89"/>
        <v>1.3235852115903981</v>
      </c>
      <c r="AL98" s="66">
        <f t="shared" si="89"/>
        <v>0.29013002672581933</v>
      </c>
      <c r="AM98" s="66">
        <f t="shared" si="89"/>
        <v>0.93125665205297992</v>
      </c>
    </row>
    <row r="99" spans="16:39" x14ac:dyDescent="0.2">
      <c r="P99" s="60">
        <f t="shared" si="82"/>
        <v>1972</v>
      </c>
      <c r="Q99" s="66">
        <f t="shared" ref="Q99:AM99" si="90">+Q13-Q56</f>
        <v>0</v>
      </c>
      <c r="R99" s="66">
        <f t="shared" si="90"/>
        <v>0.17500000000291038</v>
      </c>
      <c r="S99" s="66">
        <f t="shared" si="90"/>
        <v>0.42937500000698492</v>
      </c>
      <c r="T99" s="66">
        <f t="shared" si="90"/>
        <v>6.5109375005704351E-2</v>
      </c>
      <c r="U99" s="66">
        <f t="shared" si="90"/>
        <v>0.22939988280995749</v>
      </c>
      <c r="V99" s="66">
        <f t="shared" si="90"/>
        <v>0.27398788047139533</v>
      </c>
      <c r="W99" s="66">
        <f t="shared" si="90"/>
        <v>9.9467638079659082E-2</v>
      </c>
      <c r="X99" s="66">
        <f t="shared" si="90"/>
        <v>0.40145699084678199</v>
      </c>
      <c r="Y99" s="66">
        <f t="shared" si="90"/>
        <v>0.21747884570504539</v>
      </c>
      <c r="Z99" s="66">
        <f t="shared" si="90"/>
        <v>2.0741028391057625E-2</v>
      </c>
      <c r="AA99" s="66">
        <f t="shared" si="90"/>
        <v>-0.40889600361697376</v>
      </c>
      <c r="AB99" s="66">
        <f t="shared" si="90"/>
        <v>0.33644831631681882</v>
      </c>
      <c r="AC99" s="66">
        <f t="shared" si="90"/>
        <v>-0.47184607974486426</v>
      </c>
      <c r="AD99" s="66">
        <f t="shared" si="90"/>
        <v>-0.33656454054289497</v>
      </c>
      <c r="AE99" s="66">
        <f t="shared" si="90"/>
        <v>-0.2499301859352272</v>
      </c>
      <c r="AF99" s="66">
        <f t="shared" si="90"/>
        <v>-4.2429487803019583E-2</v>
      </c>
      <c r="AG99" s="66">
        <f t="shared" si="90"/>
        <v>-0.13285378267755732</v>
      </c>
      <c r="AH99" s="66">
        <f t="shared" si="90"/>
        <v>0.62581767950905487</v>
      </c>
      <c r="AI99" s="66">
        <f t="shared" si="90"/>
        <v>0.8020758563070558</v>
      </c>
      <c r="AJ99" s="66">
        <f t="shared" si="90"/>
        <v>0.52009661486954428</v>
      </c>
      <c r="AK99" s="66">
        <f t="shared" si="90"/>
        <v>0.57659782256814651</v>
      </c>
      <c r="AL99" s="66">
        <f t="shared" si="90"/>
        <v>-4.1194704652298242E-2</v>
      </c>
      <c r="AM99" s="66">
        <f t="shared" si="90"/>
        <v>-0.37920963845681399</v>
      </c>
    </row>
    <row r="100" spans="16:39" x14ac:dyDescent="0.2">
      <c r="P100" s="60">
        <f t="shared" si="82"/>
        <v>1973</v>
      </c>
      <c r="Q100" s="66">
        <f t="shared" ref="Q100:AM100" si="91">+Q14-Q57</f>
        <v>0</v>
      </c>
      <c r="R100" s="66">
        <f t="shared" si="91"/>
        <v>0.19999999999708962</v>
      </c>
      <c r="S100" s="66">
        <f t="shared" si="91"/>
        <v>7.9999999994470272E-2</v>
      </c>
      <c r="T100" s="66">
        <f t="shared" si="91"/>
        <v>5.7000000000698492E-2</v>
      </c>
      <c r="U100" s="66">
        <f t="shared" si="91"/>
        <v>0.21356750000268221</v>
      </c>
      <c r="V100" s="66">
        <f t="shared" si="91"/>
        <v>0.15783885000564624</v>
      </c>
      <c r="W100" s="66">
        <f t="shared" si="91"/>
        <v>0.14099562700721435</v>
      </c>
      <c r="X100" s="66">
        <f t="shared" si="91"/>
        <v>-7.6184460456715897E-2</v>
      </c>
      <c r="Y100" s="66">
        <f t="shared" si="91"/>
        <v>-0.60732722736429423</v>
      </c>
      <c r="Z100" s="66">
        <f t="shared" si="91"/>
        <v>-0.20643713577010203</v>
      </c>
      <c r="AA100" s="66">
        <f t="shared" si="91"/>
        <v>0.19745021435664967</v>
      </c>
      <c r="AB100" s="66">
        <f t="shared" si="91"/>
        <v>-0.49659440689720213</v>
      </c>
      <c r="AC100" s="66">
        <f t="shared" si="91"/>
        <v>-6.530183699214831E-2</v>
      </c>
      <c r="AD100" s="66">
        <f t="shared" si="91"/>
        <v>-0.58595485537080094</v>
      </c>
      <c r="AE100" s="66">
        <f t="shared" si="91"/>
        <v>-0.22181440392159857</v>
      </c>
      <c r="AF100" s="66">
        <f t="shared" si="91"/>
        <v>0.20596745202783495</v>
      </c>
      <c r="AG100" s="66">
        <f t="shared" si="91"/>
        <v>-0.71197287345421501</v>
      </c>
      <c r="AH100" s="66">
        <f t="shared" si="91"/>
        <v>0.18090739782201126</v>
      </c>
      <c r="AI100" s="66">
        <f t="shared" si="91"/>
        <v>0.46271647181129083</v>
      </c>
      <c r="AJ100" s="66">
        <f t="shared" si="91"/>
        <v>0.26734363654395565</v>
      </c>
      <c r="AK100" s="66">
        <f t="shared" si="91"/>
        <v>0.42068543200730346</v>
      </c>
      <c r="AL100" s="66">
        <f t="shared" si="91"/>
        <v>-0.53655600009369664</v>
      </c>
      <c r="AM100" s="66">
        <f t="shared" si="91"/>
        <v>-0.63076295010978356</v>
      </c>
    </row>
    <row r="101" spans="16:39" x14ac:dyDescent="0.2">
      <c r="P101" s="60">
        <f t="shared" si="82"/>
        <v>1974</v>
      </c>
      <c r="Q101" s="66">
        <f t="shared" ref="Q101:AM101" si="92">+Q15-Q58</f>
        <v>0</v>
      </c>
      <c r="R101" s="66">
        <f t="shared" si="92"/>
        <v>0.15000000000145519</v>
      </c>
      <c r="S101" s="66">
        <f t="shared" si="92"/>
        <v>-0.59625000000232831</v>
      </c>
      <c r="T101" s="66">
        <f t="shared" si="92"/>
        <v>-0.71115624999947613</v>
      </c>
      <c r="U101" s="66">
        <f t="shared" si="92"/>
        <v>5.6786953122355044E-2</v>
      </c>
      <c r="V101" s="66">
        <f t="shared" si="92"/>
        <v>-0.36207730781461578</v>
      </c>
      <c r="W101" s="66">
        <f t="shared" si="92"/>
        <v>-0.6093188539671246</v>
      </c>
      <c r="X101" s="66">
        <f t="shared" si="92"/>
        <v>-0.86150523104879539</v>
      </c>
      <c r="Y101" s="66">
        <f t="shared" si="92"/>
        <v>-0.72442780951678287</v>
      </c>
      <c r="Z101" s="66">
        <f t="shared" si="92"/>
        <v>-0.78529422666179016</v>
      </c>
      <c r="AA101" s="66">
        <f t="shared" si="92"/>
        <v>-0.53903687563433778</v>
      </c>
      <c r="AB101" s="66">
        <f t="shared" si="92"/>
        <v>-0.76847002096474171</v>
      </c>
      <c r="AC101" s="66">
        <f t="shared" si="92"/>
        <v>-0.52807589623262174</v>
      </c>
      <c r="AD101" s="66">
        <f t="shared" si="92"/>
        <v>-0.29335665519465692</v>
      </c>
      <c r="AE101" s="66">
        <f t="shared" si="92"/>
        <v>-0.27629022175096907</v>
      </c>
      <c r="AF101" s="66">
        <f t="shared" si="92"/>
        <v>-0.28905312396818772</v>
      </c>
      <c r="AG101" s="66">
        <f t="shared" si="92"/>
        <v>-0.73194365520612337</v>
      </c>
      <c r="AH101" s="66">
        <f t="shared" si="92"/>
        <v>-0.4392630917718634</v>
      </c>
      <c r="AI101" s="66">
        <f t="shared" si="92"/>
        <v>0.17634427730808966</v>
      </c>
      <c r="AJ101" s="66">
        <f t="shared" si="92"/>
        <v>0.25810772008844651</v>
      </c>
      <c r="AK101" s="66">
        <f t="shared" si="92"/>
        <v>-0.30116593340062536</v>
      </c>
      <c r="AL101" s="66">
        <f t="shared" si="92"/>
        <v>-0.46743050756049342</v>
      </c>
      <c r="AM101" s="66">
        <f t="shared" si="92"/>
        <v>-0.24827338889008388</v>
      </c>
    </row>
    <row r="102" spans="16:39" x14ac:dyDescent="0.2">
      <c r="P102" s="60">
        <f t="shared" si="82"/>
        <v>1975</v>
      </c>
      <c r="Q102" s="66">
        <f t="shared" ref="Q102:AM102" si="93">+Q16-Q59</f>
        <v>0</v>
      </c>
      <c r="R102" s="66">
        <f t="shared" si="93"/>
        <v>2.5000000001455192E-2</v>
      </c>
      <c r="S102" s="66">
        <f t="shared" si="93"/>
        <v>-0.54937500000232831</v>
      </c>
      <c r="T102" s="66">
        <f t="shared" si="93"/>
        <v>-8.8109374999476131E-2</v>
      </c>
      <c r="U102" s="66">
        <f t="shared" si="93"/>
        <v>0.27946761719067581</v>
      </c>
      <c r="V102" s="66">
        <f t="shared" si="93"/>
        <v>5.0569695304147899E-3</v>
      </c>
      <c r="W102" s="66">
        <f t="shared" si="93"/>
        <v>-5.4841891076648608E-2</v>
      </c>
      <c r="X102" s="66">
        <f t="shared" si="93"/>
        <v>-1.5938728902256116E-2</v>
      </c>
      <c r="Y102" s="66">
        <f t="shared" si="93"/>
        <v>0.21382219016959425</v>
      </c>
      <c r="Z102" s="66">
        <f t="shared" si="93"/>
        <v>6.2029523018281907E-2</v>
      </c>
      <c r="AA102" s="66">
        <f t="shared" si="93"/>
        <v>-0.1468849603261333</v>
      </c>
      <c r="AB102" s="66">
        <f t="shared" si="93"/>
        <v>-0.28445544713758864</v>
      </c>
      <c r="AC102" s="66">
        <f t="shared" si="93"/>
        <v>-0.41301114021916874</v>
      </c>
      <c r="AD102" s="66">
        <f t="shared" si="93"/>
        <v>2.8587483684532344E-3</v>
      </c>
      <c r="AE102" s="66">
        <f t="shared" si="93"/>
        <v>7.2887335845734924E-2</v>
      </c>
      <c r="AF102" s="66">
        <f t="shared" si="93"/>
        <v>-6.3837908091954887E-3</v>
      </c>
      <c r="AG102" s="66">
        <f t="shared" si="93"/>
        <v>0.37355237128213048</v>
      </c>
      <c r="AH102" s="66">
        <f t="shared" si="93"/>
        <v>0.38728789499145932</v>
      </c>
      <c r="AI102" s="66">
        <f t="shared" si="93"/>
        <v>0.6311607739480678</v>
      </c>
      <c r="AJ102" s="66">
        <f t="shared" si="93"/>
        <v>0.25747238169424236</v>
      </c>
      <c r="AK102" s="66">
        <f t="shared" si="93"/>
        <v>0.53569078646251</v>
      </c>
      <c r="AL102" s="66">
        <f t="shared" si="93"/>
        <v>-0.33261307870270684</v>
      </c>
      <c r="AM102" s="66">
        <f t="shared" si="93"/>
        <v>-0.336770742200315</v>
      </c>
    </row>
    <row r="103" spans="16:39" x14ac:dyDescent="0.2">
      <c r="P103" s="60">
        <f t="shared" si="82"/>
        <v>1976</v>
      </c>
      <c r="Q103" s="66">
        <f t="shared" ref="Q103:AM103" si="94">+Q17-Q60</f>
        <v>0</v>
      </c>
      <c r="R103" s="66">
        <f t="shared" si="94"/>
        <v>-0.72499999999854481</v>
      </c>
      <c r="S103" s="66">
        <f t="shared" si="94"/>
        <v>-0.91812499999650754</v>
      </c>
      <c r="T103" s="66">
        <f t="shared" si="94"/>
        <v>-0.84107812499860302</v>
      </c>
      <c r="U103" s="66">
        <f t="shared" si="94"/>
        <v>-0.72170777343853842</v>
      </c>
      <c r="V103" s="66">
        <f t="shared" si="94"/>
        <v>-0.71614192890410777</v>
      </c>
      <c r="W103" s="66">
        <f t="shared" si="94"/>
        <v>-0.5704647674865555</v>
      </c>
      <c r="X103" s="66">
        <f t="shared" si="94"/>
        <v>-0.34187406284036115</v>
      </c>
      <c r="Y103" s="66">
        <f t="shared" si="94"/>
        <v>-0.68700217378500383</v>
      </c>
      <c r="Z103" s="66">
        <f t="shared" si="94"/>
        <v>-0.66730720638588537</v>
      </c>
      <c r="AA103" s="66">
        <f t="shared" si="94"/>
        <v>-0.94148508249782026</v>
      </c>
      <c r="AB103" s="66">
        <f t="shared" si="94"/>
        <v>-0.69546107144560665</v>
      </c>
      <c r="AC103" s="66">
        <f t="shared" si="94"/>
        <v>-0.34165433484304231</v>
      </c>
      <c r="AD103" s="66">
        <f t="shared" si="94"/>
        <v>-0.10507087819860317</v>
      </c>
      <c r="AE103" s="66">
        <f t="shared" si="94"/>
        <v>-0.3761215869744774</v>
      </c>
      <c r="AF103" s="66">
        <f t="shared" si="94"/>
        <v>-0.94988280284451321</v>
      </c>
      <c r="AG103" s="66">
        <f t="shared" si="94"/>
        <v>-0.20938163087703288</v>
      </c>
      <c r="AH103" s="66">
        <f t="shared" si="94"/>
        <v>2.8524552821181715E-2</v>
      </c>
      <c r="AI103" s="66">
        <f t="shared" si="94"/>
        <v>-0.63119020164594986</v>
      </c>
      <c r="AJ103" s="66">
        <f t="shared" si="94"/>
        <v>-1.0275021036504768</v>
      </c>
      <c r="AK103" s="66">
        <f t="shared" si="94"/>
        <v>-0.41534587994101457</v>
      </c>
      <c r="AL103" s="66">
        <f t="shared" si="94"/>
        <v>-0.54553770343773067</v>
      </c>
      <c r="AM103" s="66">
        <f t="shared" si="94"/>
        <v>-0.38985692473943345</v>
      </c>
    </row>
    <row r="104" spans="16:39" x14ac:dyDescent="0.2">
      <c r="P104" s="60">
        <f t="shared" si="82"/>
        <v>1977</v>
      </c>
      <c r="Q104" s="66">
        <f t="shared" ref="Q104:AM104" si="95">+Q18-Q61</f>
        <v>0</v>
      </c>
      <c r="R104" s="66">
        <f t="shared" si="95"/>
        <v>0.15000000000145519</v>
      </c>
      <c r="S104" s="66">
        <f t="shared" si="95"/>
        <v>0.90375000000130967</v>
      </c>
      <c r="T104" s="66">
        <f t="shared" si="95"/>
        <v>0.10134375000052387</v>
      </c>
      <c r="U104" s="66">
        <f t="shared" si="95"/>
        <v>0.15913070312672062</v>
      </c>
      <c r="V104" s="66">
        <f t="shared" si="95"/>
        <v>0.34231331718910951</v>
      </c>
      <c r="W104" s="66">
        <f t="shared" si="95"/>
        <v>0.54915958353376482</v>
      </c>
      <c r="X104" s="66">
        <f t="shared" si="95"/>
        <v>0.78014277519832831</v>
      </c>
      <c r="Y104" s="66">
        <f t="shared" si="95"/>
        <v>0.18684491682506632</v>
      </c>
      <c r="Z104" s="66">
        <f t="shared" si="95"/>
        <v>0.67964759057213087</v>
      </c>
      <c r="AA104" s="66">
        <f t="shared" si="95"/>
        <v>0.32904142340703402</v>
      </c>
      <c r="AB104" s="66">
        <f t="shared" si="95"/>
        <v>0.91229964832018595</v>
      </c>
      <c r="AC104" s="66">
        <f t="shared" si="95"/>
        <v>0.26120339392218739</v>
      </c>
      <c r="AD104" s="66">
        <f t="shared" si="95"/>
        <v>0.11381542785966303</v>
      </c>
      <c r="AE104" s="66">
        <f t="shared" si="95"/>
        <v>0.28495358214422595</v>
      </c>
      <c r="AF104" s="66">
        <f t="shared" si="95"/>
        <v>0.98780311795417219</v>
      </c>
      <c r="AG104" s="66">
        <f t="shared" si="95"/>
        <v>0.84768114914186299</v>
      </c>
      <c r="AH104" s="66">
        <f t="shared" si="95"/>
        <v>1.056157960643759</v>
      </c>
      <c r="AI104" s="66">
        <f t="shared" si="95"/>
        <v>1.2267195402528159</v>
      </c>
      <c r="AJ104" s="66">
        <f t="shared" si="95"/>
        <v>0.5289867356477771</v>
      </c>
      <c r="AK104" s="66">
        <f t="shared" si="95"/>
        <v>0.86059906985610723</v>
      </c>
      <c r="AL104" s="66">
        <f t="shared" si="95"/>
        <v>0.83385655822348781</v>
      </c>
      <c r="AM104" s="66">
        <f t="shared" si="95"/>
        <v>0.49427976520382799</v>
      </c>
    </row>
    <row r="105" spans="16:39" x14ac:dyDescent="0.2">
      <c r="P105" s="60">
        <f t="shared" si="82"/>
        <v>1978</v>
      </c>
      <c r="Q105" s="66">
        <f t="shared" ref="Q105:AM105" si="96">+Q19-Q62</f>
        <v>0</v>
      </c>
      <c r="R105" s="66">
        <f t="shared" si="96"/>
        <v>-0.27500000000145519</v>
      </c>
      <c r="S105" s="66">
        <f t="shared" si="96"/>
        <v>-3.1875000000582077E-2</v>
      </c>
      <c r="T105" s="66">
        <f t="shared" si="96"/>
        <v>-0.33267187499950523</v>
      </c>
      <c r="U105" s="66">
        <f t="shared" si="96"/>
        <v>0.20067964843474329</v>
      </c>
      <c r="V105" s="66">
        <f t="shared" si="96"/>
        <v>-1.5306758592487313E-2</v>
      </c>
      <c r="W105" s="66">
        <f t="shared" si="96"/>
        <v>-0.43561289376521017</v>
      </c>
      <c r="X105" s="66">
        <f t="shared" si="96"/>
        <v>-4.3251516399323009E-3</v>
      </c>
      <c r="Y105" s="66">
        <f t="shared" si="96"/>
        <v>-0.28439002891536802</v>
      </c>
      <c r="Z105" s="66">
        <f t="shared" si="96"/>
        <v>0.17634412065672223</v>
      </c>
      <c r="AA105" s="66">
        <f t="shared" si="96"/>
        <v>-0.5855698572268011</v>
      </c>
      <c r="AB105" s="66">
        <f t="shared" si="96"/>
        <v>-9.3317329723504372E-2</v>
      </c>
      <c r="AC105" s="66">
        <f t="shared" si="96"/>
        <v>-0.69448379633831792</v>
      </c>
      <c r="AD105" s="66">
        <f t="shared" si="96"/>
        <v>-0.42142863430490252</v>
      </c>
      <c r="AE105" s="66">
        <f t="shared" si="96"/>
        <v>-3.5642920644022524E-2</v>
      </c>
      <c r="AF105" s="66">
        <f t="shared" si="96"/>
        <v>-0.31599934985570144</v>
      </c>
      <c r="AG105" s="66">
        <f t="shared" si="96"/>
        <v>-0.62915934334159829</v>
      </c>
      <c r="AH105" s="66">
        <f t="shared" si="96"/>
        <v>0.224549063219456</v>
      </c>
      <c r="AI105" s="66">
        <f t="shared" si="96"/>
        <v>-0.13320544615271501</v>
      </c>
      <c r="AJ105" s="66">
        <f t="shared" si="96"/>
        <v>-0.52453750060521998</v>
      </c>
      <c r="AK105" s="66">
        <f t="shared" si="96"/>
        <v>0.243905780633213</v>
      </c>
      <c r="AL105" s="66">
        <f t="shared" si="96"/>
        <v>-1.5545397123787552E-2</v>
      </c>
      <c r="AM105" s="66">
        <f t="shared" si="96"/>
        <v>-0.2407397145871073</v>
      </c>
    </row>
    <row r="106" spans="16:39" x14ac:dyDescent="0.2">
      <c r="P106" s="60">
        <f t="shared" si="82"/>
        <v>1979</v>
      </c>
      <c r="Q106" s="66">
        <f t="shared" ref="Q106:AM106" si="97">+Q20-Q63</f>
        <v>0</v>
      </c>
      <c r="R106" s="66">
        <f t="shared" si="97"/>
        <v>7.5000000000727596E-2</v>
      </c>
      <c r="S106" s="66">
        <f t="shared" si="97"/>
        <v>-0.44812499999898137</v>
      </c>
      <c r="T106" s="66">
        <f t="shared" si="97"/>
        <v>0.46567187500113505</v>
      </c>
      <c r="U106" s="66">
        <f t="shared" si="97"/>
        <v>2.3477851565985475E-2</v>
      </c>
      <c r="V106" s="66">
        <f t="shared" si="97"/>
        <v>0.32394740860036109</v>
      </c>
      <c r="W106" s="66">
        <f t="shared" si="97"/>
        <v>0.17042635677353246</v>
      </c>
      <c r="X106" s="66">
        <f t="shared" si="97"/>
        <v>-0.32616511609376175</v>
      </c>
      <c r="Y106" s="66">
        <f t="shared" si="97"/>
        <v>-0.15605759283789666</v>
      </c>
      <c r="Z106" s="66">
        <f t="shared" si="97"/>
        <v>0.39660154326702468</v>
      </c>
      <c r="AA106" s="66">
        <f t="shared" si="97"/>
        <v>0.18604207027237862</v>
      </c>
      <c r="AB106" s="66">
        <f t="shared" si="97"/>
        <v>-0.4682021935004741</v>
      </c>
      <c r="AC106" s="66">
        <f t="shared" si="97"/>
        <v>0.2134452790778596</v>
      </c>
      <c r="AD106" s="66">
        <f t="shared" si="97"/>
        <v>0.28557973186252639</v>
      </c>
      <c r="AE106" s="66">
        <f t="shared" si="97"/>
        <v>0.25843552917649504</v>
      </c>
      <c r="AF106" s="66">
        <f t="shared" si="97"/>
        <v>0.36101988446898758</v>
      </c>
      <c r="AG106" s="66">
        <f t="shared" si="97"/>
        <v>0.23463008331600577</v>
      </c>
      <c r="AH106" s="66">
        <f t="shared" si="97"/>
        <v>8.6976384161971509E-2</v>
      </c>
      <c r="AI106" s="66">
        <f t="shared" si="97"/>
        <v>0.547846147994278</v>
      </c>
      <c r="AJ106" s="66">
        <f t="shared" si="97"/>
        <v>-0.19667539052898064</v>
      </c>
      <c r="AK106" s="66">
        <f t="shared" si="97"/>
        <v>0.1758661670901347</v>
      </c>
      <c r="AL106" s="66">
        <f t="shared" si="97"/>
        <v>-0.15943550583324395</v>
      </c>
      <c r="AM106" s="66">
        <f t="shared" si="97"/>
        <v>-0.12392844966962002</v>
      </c>
    </row>
    <row r="107" spans="16:39" x14ac:dyDescent="0.2">
      <c r="P107" s="60">
        <f t="shared" si="82"/>
        <v>1980</v>
      </c>
      <c r="Q107" s="66">
        <f t="shared" ref="Q107:AM107" si="98">+Q21-Q64</f>
        <v>0</v>
      </c>
      <c r="R107" s="66">
        <f t="shared" si="98"/>
        <v>0</v>
      </c>
      <c r="S107" s="66">
        <f t="shared" si="98"/>
        <v>0.2000000000007276</v>
      </c>
      <c r="T107" s="66">
        <f t="shared" si="98"/>
        <v>-0.27000000000043656</v>
      </c>
      <c r="U107" s="66">
        <f t="shared" si="98"/>
        <v>0.25507500000094296</v>
      </c>
      <c r="V107" s="66">
        <f t="shared" si="98"/>
        <v>4.0176499998779036E-2</v>
      </c>
      <c r="W107" s="66">
        <f t="shared" si="98"/>
        <v>6.0980030000791885E-2</v>
      </c>
      <c r="X107" s="66">
        <f t="shared" si="98"/>
        <v>0.48219963059818838</v>
      </c>
      <c r="Y107" s="66">
        <f t="shared" si="98"/>
        <v>-0.31056737494509434</v>
      </c>
      <c r="Z107" s="66">
        <f t="shared" si="98"/>
        <v>-0.11522588557272684</v>
      </c>
      <c r="AA107" s="66">
        <f t="shared" si="98"/>
        <v>0.32525766143226065</v>
      </c>
      <c r="AB107" s="66">
        <f t="shared" si="98"/>
        <v>-0.42655032948823646</v>
      </c>
      <c r="AC107" s="66">
        <f t="shared" si="98"/>
        <v>0.3931177913909778</v>
      </c>
      <c r="AD107" s="66">
        <f t="shared" si="98"/>
        <v>-0.47295103069336619</v>
      </c>
      <c r="AE107" s="66">
        <f t="shared" si="98"/>
        <v>0.33231945900479332</v>
      </c>
      <c r="AF107" s="66">
        <f t="shared" si="98"/>
        <v>4.5642653596587479E-2</v>
      </c>
      <c r="AG107" s="66">
        <f t="shared" si="98"/>
        <v>0.31609908012615051</v>
      </c>
      <c r="AH107" s="66">
        <f t="shared" si="98"/>
        <v>0.359260070923483</v>
      </c>
      <c r="AI107" s="66">
        <f t="shared" si="98"/>
        <v>0.81285267163184471</v>
      </c>
      <c r="AJ107" s="66">
        <f t="shared" si="98"/>
        <v>-0.12901880164281465</v>
      </c>
      <c r="AK107" s="66">
        <f t="shared" si="98"/>
        <v>0.51936846334137954</v>
      </c>
      <c r="AL107" s="66">
        <f t="shared" si="98"/>
        <v>-0.24913943087449297</v>
      </c>
      <c r="AM107" s="66">
        <f t="shared" si="98"/>
        <v>-0.33975367376115173</v>
      </c>
    </row>
    <row r="108" spans="16:39" x14ac:dyDescent="0.2">
      <c r="P108" s="60">
        <f t="shared" si="82"/>
        <v>1981</v>
      </c>
      <c r="Q108" s="66">
        <f t="shared" ref="Q108:AM108" si="99">+Q22-Q65</f>
        <v>0</v>
      </c>
      <c r="R108" s="66">
        <f t="shared" si="99"/>
        <v>0</v>
      </c>
      <c r="S108" s="66">
        <f t="shared" si="99"/>
        <v>0</v>
      </c>
      <c r="T108" s="66">
        <f t="shared" si="99"/>
        <v>0.2000000000007276</v>
      </c>
      <c r="U108" s="66">
        <f t="shared" si="99"/>
        <v>-0.37449999999807915</v>
      </c>
      <c r="V108" s="66">
        <f t="shared" si="99"/>
        <v>9.8010000001522712E-2</v>
      </c>
      <c r="W108" s="66">
        <f t="shared" si="99"/>
        <v>0.4799702000018442</v>
      </c>
      <c r="X108" s="66">
        <f t="shared" si="99"/>
        <v>-1.0430395996081643E-2</v>
      </c>
      <c r="Y108" s="66">
        <f t="shared" si="99"/>
        <v>-0.40058685193798738</v>
      </c>
      <c r="Z108" s="66">
        <f t="shared" si="99"/>
        <v>-0.20659565471578389</v>
      </c>
      <c r="AA108" s="66">
        <f t="shared" si="99"/>
        <v>0.12228892132407054</v>
      </c>
      <c r="AB108" s="66">
        <f t="shared" si="99"/>
        <v>0.49692897744535003</v>
      </c>
      <c r="AC108" s="66">
        <f t="shared" si="99"/>
        <v>-0.10935941032948904</v>
      </c>
      <c r="AD108" s="66">
        <f t="shared" si="99"/>
        <v>-0.37045300443423912</v>
      </c>
      <c r="AE108" s="66">
        <f t="shared" si="99"/>
        <v>-0.19415753448265605</v>
      </c>
      <c r="AF108" s="66">
        <f t="shared" si="99"/>
        <v>-0.33609910983068403</v>
      </c>
      <c r="AG108" s="66">
        <f t="shared" si="99"/>
        <v>-0.13946010092331562</v>
      </c>
      <c r="AH108" s="66">
        <f t="shared" si="99"/>
        <v>0.6191452980710892</v>
      </c>
      <c r="AI108" s="66">
        <f t="shared" si="99"/>
        <v>0.5853367510571843</v>
      </c>
      <c r="AJ108" s="66">
        <f t="shared" si="99"/>
        <v>-3.8809881429187953E-2</v>
      </c>
      <c r="AK108" s="66">
        <f t="shared" si="99"/>
        <v>0.27320499505731277</v>
      </c>
      <c r="AL108" s="66">
        <f t="shared" si="99"/>
        <v>0.45162005748716183</v>
      </c>
      <c r="AM108" s="66">
        <f t="shared" si="99"/>
        <v>-0.39273469179170206</v>
      </c>
    </row>
    <row r="109" spans="16:39" x14ac:dyDescent="0.2">
      <c r="P109" s="60">
        <f t="shared" si="82"/>
        <v>1982</v>
      </c>
      <c r="Q109" s="66">
        <f t="shared" ref="Q109:AM109" si="100">+Q23-Q66</f>
        <v>0</v>
      </c>
      <c r="R109" s="66">
        <f t="shared" si="100"/>
        <v>0</v>
      </c>
      <c r="S109" s="66">
        <f t="shared" si="100"/>
        <v>0</v>
      </c>
      <c r="T109" s="66">
        <f t="shared" si="100"/>
        <v>0</v>
      </c>
      <c r="U109" s="66">
        <f t="shared" si="100"/>
        <v>-3.7500000000363798E-2</v>
      </c>
      <c r="V109" s="66">
        <f t="shared" si="100"/>
        <v>-0.1382499999999709</v>
      </c>
      <c r="W109" s="66">
        <f t="shared" si="100"/>
        <v>0.27898500000083004</v>
      </c>
      <c r="X109" s="66">
        <f t="shared" si="100"/>
        <v>0.48456470000382978</v>
      </c>
      <c r="Y109" s="66">
        <f t="shared" si="100"/>
        <v>-9.8166829498950392E-2</v>
      </c>
      <c r="Z109" s="66">
        <f t="shared" si="100"/>
        <v>0.4603606680611847</v>
      </c>
      <c r="AA109" s="66">
        <f t="shared" si="100"/>
        <v>-0.44158302024879958</v>
      </c>
      <c r="AB109" s="66">
        <f t="shared" si="100"/>
        <v>-0.11431072310369927</v>
      </c>
      <c r="AC109" s="66">
        <f t="shared" si="100"/>
        <v>-0.4532396071444964</v>
      </c>
      <c r="AD109" s="66">
        <f t="shared" si="100"/>
        <v>2.2227996785659343E-2</v>
      </c>
      <c r="AE109" s="66">
        <f t="shared" si="100"/>
        <v>-0.31754972324415576</v>
      </c>
      <c r="AF109" s="66">
        <f t="shared" si="100"/>
        <v>-0.2207252204825636</v>
      </c>
      <c r="AG109" s="66">
        <f t="shared" si="100"/>
        <v>-2.2932472682441585E-2</v>
      </c>
      <c r="AH109" s="66">
        <f t="shared" si="100"/>
        <v>0.50683820259291679</v>
      </c>
      <c r="AI109" s="66">
        <f t="shared" si="100"/>
        <v>2.1906584617681801E-2</v>
      </c>
      <c r="AJ109" s="66">
        <f t="shared" si="100"/>
        <v>-0.26787434953439515</v>
      </c>
      <c r="AK109" s="66">
        <f t="shared" si="100"/>
        <v>0.20377722108969465</v>
      </c>
      <c r="AL109" s="66">
        <f t="shared" si="100"/>
        <v>-0.20617556365323253</v>
      </c>
      <c r="AM109" s="66">
        <f t="shared" si="100"/>
        <v>-0.37125275819562376</v>
      </c>
    </row>
    <row r="110" spans="16:39" x14ac:dyDescent="0.2">
      <c r="P110" s="60">
        <f t="shared" si="82"/>
        <v>1983</v>
      </c>
      <c r="Q110" s="66">
        <f t="shared" ref="Q110:AM110" si="101">+Q24-Q67</f>
        <v>0</v>
      </c>
      <c r="R110" s="66">
        <f t="shared" si="101"/>
        <v>0</v>
      </c>
      <c r="S110" s="66">
        <f t="shared" si="101"/>
        <v>0</v>
      </c>
      <c r="T110" s="66">
        <f t="shared" si="101"/>
        <v>0</v>
      </c>
      <c r="U110" s="66">
        <f t="shared" si="101"/>
        <v>0</v>
      </c>
      <c r="V110" s="66">
        <f t="shared" si="101"/>
        <v>-0.2999999999992724</v>
      </c>
      <c r="W110" s="66">
        <f t="shared" si="101"/>
        <v>-0.46600000000034925</v>
      </c>
      <c r="X110" s="66">
        <f t="shared" si="101"/>
        <v>-0.17532000000210246</v>
      </c>
      <c r="Y110" s="66">
        <f t="shared" si="101"/>
        <v>0.34705019999819342</v>
      </c>
      <c r="Z110" s="66">
        <f t="shared" si="101"/>
        <v>-0.42774404700321611</v>
      </c>
      <c r="AA110" s="66">
        <f t="shared" si="101"/>
        <v>-0.2027295678271912</v>
      </c>
      <c r="AB110" s="66">
        <f t="shared" si="101"/>
        <v>0.44122266473277705</v>
      </c>
      <c r="AC110" s="66">
        <f t="shared" si="101"/>
        <v>-0.36576205195888178</v>
      </c>
      <c r="AD110" s="66">
        <f t="shared" si="101"/>
        <v>6.0580327524803579E-2</v>
      </c>
      <c r="AE110" s="66">
        <f t="shared" si="101"/>
        <v>0.42118613079946954</v>
      </c>
      <c r="AF110" s="66">
        <f t="shared" si="101"/>
        <v>-2.4602007892099209E-2</v>
      </c>
      <c r="AG110" s="66">
        <f t="shared" si="101"/>
        <v>0.39515197202854324</v>
      </c>
      <c r="AH110" s="66">
        <f t="shared" si="101"/>
        <v>-8.0896508254227228E-2</v>
      </c>
      <c r="AI110" s="66">
        <f t="shared" si="101"/>
        <v>0.20829452665930148</v>
      </c>
      <c r="AJ110" s="66">
        <f t="shared" si="101"/>
        <v>-0.51962252808152698</v>
      </c>
      <c r="AK110" s="66">
        <f t="shared" si="101"/>
        <v>0.39888219031854533</v>
      </c>
      <c r="AL110" s="66">
        <f t="shared" si="101"/>
        <v>-0.30863178230356425</v>
      </c>
      <c r="AM110" s="66">
        <f t="shared" si="101"/>
        <v>-0.49998967957799323</v>
      </c>
    </row>
    <row r="111" spans="16:39" x14ac:dyDescent="0.2">
      <c r="P111" s="60">
        <f t="shared" si="82"/>
        <v>1984</v>
      </c>
      <c r="Q111" s="66">
        <f t="shared" ref="Q111:AM111" si="102">+Q25-Q68</f>
        <v>0</v>
      </c>
      <c r="R111" s="66">
        <f t="shared" si="102"/>
        <v>0</v>
      </c>
      <c r="S111" s="66">
        <f t="shared" si="102"/>
        <v>0</v>
      </c>
      <c r="T111" s="66">
        <f t="shared" si="102"/>
        <v>0</v>
      </c>
      <c r="U111" s="66">
        <f t="shared" si="102"/>
        <v>0</v>
      </c>
      <c r="V111" s="66">
        <f t="shared" si="102"/>
        <v>0</v>
      </c>
      <c r="W111" s="66">
        <f t="shared" si="102"/>
        <v>-0.31999999999970896</v>
      </c>
      <c r="X111" s="66">
        <f t="shared" si="102"/>
        <v>0.4135999999998603</v>
      </c>
      <c r="Y111" s="66">
        <f t="shared" si="102"/>
        <v>0.25480400000014924</v>
      </c>
      <c r="Z111" s="66">
        <f t="shared" si="102"/>
        <v>0.31862605999776861</v>
      </c>
      <c r="AA111" s="66">
        <f t="shared" si="102"/>
        <v>0.32170201604458271</v>
      </c>
      <c r="AB111" s="66">
        <f t="shared" si="102"/>
        <v>-0.12516819867596496</v>
      </c>
      <c r="AC111" s="66">
        <f t="shared" si="102"/>
        <v>0.12326719884003978</v>
      </c>
      <c r="AD111" s="66">
        <f t="shared" si="102"/>
        <v>0.49449987083062297</v>
      </c>
      <c r="AE111" s="66">
        <f t="shared" si="102"/>
        <v>-0.47055513046507258</v>
      </c>
      <c r="AF111" s="66">
        <f t="shared" si="102"/>
        <v>0.49473931823740713</v>
      </c>
      <c r="AG111" s="66">
        <f t="shared" si="102"/>
        <v>6.9686711416579783E-2</v>
      </c>
      <c r="AH111" s="66">
        <f t="shared" si="102"/>
        <v>0.50038357853190973</v>
      </c>
      <c r="AI111" s="66">
        <f t="shared" si="102"/>
        <v>0.45538741431664675</v>
      </c>
      <c r="AJ111" s="66">
        <f t="shared" si="102"/>
        <v>0.15994128845341038</v>
      </c>
      <c r="AK111" s="66">
        <f t="shared" si="102"/>
        <v>0.83694055455271155</v>
      </c>
      <c r="AL111" s="66">
        <f t="shared" si="102"/>
        <v>0.10990231148025487</v>
      </c>
      <c r="AM111" s="66">
        <f t="shared" si="102"/>
        <v>0.13627609037212096</v>
      </c>
    </row>
    <row r="112" spans="16:39" x14ac:dyDescent="0.2">
      <c r="P112" s="60">
        <f t="shared" si="82"/>
        <v>1985</v>
      </c>
      <c r="Q112" s="66">
        <f t="shared" ref="Q112:AM112" si="103">+Q26-Q69</f>
        <v>0</v>
      </c>
      <c r="R112" s="66">
        <f t="shared" si="103"/>
        <v>0</v>
      </c>
      <c r="S112" s="66">
        <f t="shared" si="103"/>
        <v>0</v>
      </c>
      <c r="T112" s="66">
        <f t="shared" si="103"/>
        <v>0</v>
      </c>
      <c r="U112" s="66">
        <f t="shared" si="103"/>
        <v>0</v>
      </c>
      <c r="V112" s="66">
        <f t="shared" si="103"/>
        <v>0</v>
      </c>
      <c r="W112" s="66">
        <f t="shared" si="103"/>
        <v>0</v>
      </c>
      <c r="X112" s="66">
        <f t="shared" si="103"/>
        <v>-0.31999999999970896</v>
      </c>
      <c r="Y112" s="66">
        <f t="shared" si="103"/>
        <v>-9.7999999998137355E-3</v>
      </c>
      <c r="Z112" s="66">
        <f t="shared" si="103"/>
        <v>6.0053000001062173E-2</v>
      </c>
      <c r="AA112" s="66">
        <f t="shared" si="103"/>
        <v>0.22360392750124447</v>
      </c>
      <c r="AB112" s="66">
        <f t="shared" si="103"/>
        <v>9.2516996228368953E-2</v>
      </c>
      <c r="AC112" s="66">
        <f t="shared" si="103"/>
        <v>0.41867345868377015</v>
      </c>
      <c r="AD112" s="66">
        <f t="shared" si="103"/>
        <v>-0.4371398067305563</v>
      </c>
      <c r="AE112" s="66">
        <f t="shared" si="103"/>
        <v>0.10848879520199262</v>
      </c>
      <c r="AF112" s="66">
        <f t="shared" si="103"/>
        <v>0.32957368314964697</v>
      </c>
      <c r="AG112" s="66">
        <f t="shared" si="103"/>
        <v>-8.7130580024677329E-2</v>
      </c>
      <c r="AH112" s="66">
        <f t="shared" si="103"/>
        <v>0.1119981141819153</v>
      </c>
      <c r="AI112" s="66">
        <f t="shared" si="103"/>
        <v>0.6031180953286821</v>
      </c>
      <c r="AJ112" s="66">
        <f t="shared" si="103"/>
        <v>-0.38085072371177375</v>
      </c>
      <c r="AK112" s="66">
        <f t="shared" si="103"/>
        <v>0.16438864223891869</v>
      </c>
      <c r="AL112" s="66">
        <f t="shared" si="103"/>
        <v>-0.45855649973964319</v>
      </c>
      <c r="AM112" s="66">
        <f t="shared" si="103"/>
        <v>-7.6788455990026705E-2</v>
      </c>
    </row>
    <row r="113" spans="16:39" x14ac:dyDescent="0.2">
      <c r="P113" s="60">
        <f t="shared" si="82"/>
        <v>1986</v>
      </c>
      <c r="Q113" s="66">
        <f t="shared" ref="Q113:AM113" si="104">+Q27-Q70</f>
        <v>0</v>
      </c>
      <c r="R113" s="66">
        <f t="shared" si="104"/>
        <v>0</v>
      </c>
      <c r="S113" s="66">
        <f t="shared" si="104"/>
        <v>0</v>
      </c>
      <c r="T113" s="66">
        <f t="shared" si="104"/>
        <v>0</v>
      </c>
      <c r="U113" s="66">
        <f t="shared" si="104"/>
        <v>0</v>
      </c>
      <c r="V113" s="66">
        <f t="shared" si="104"/>
        <v>0</v>
      </c>
      <c r="W113" s="66">
        <f t="shared" si="104"/>
        <v>0</v>
      </c>
      <c r="X113" s="66">
        <f t="shared" si="104"/>
        <v>0</v>
      </c>
      <c r="Y113" s="66">
        <f t="shared" si="104"/>
        <v>-0.22999999999956344</v>
      </c>
      <c r="Z113" s="66">
        <f t="shared" si="104"/>
        <v>-0.19344999999884749</v>
      </c>
      <c r="AA113" s="66">
        <f t="shared" si="104"/>
        <v>-0.28433537499950035</v>
      </c>
      <c r="AB113" s="66">
        <f t="shared" si="104"/>
        <v>0.44318875594035489</v>
      </c>
      <c r="AC113" s="66">
        <f t="shared" si="104"/>
        <v>6.1228615391883068E-2</v>
      </c>
      <c r="AD113" s="66">
        <f t="shared" si="104"/>
        <v>-0.46815909845463466</v>
      </c>
      <c r="AE113" s="66">
        <f t="shared" si="104"/>
        <v>0.12715931056300178</v>
      </c>
      <c r="AF113" s="66">
        <f t="shared" si="104"/>
        <v>0.12843090367096011</v>
      </c>
      <c r="AG113" s="66">
        <f t="shared" si="104"/>
        <v>0.22971521271392703</v>
      </c>
      <c r="AH113" s="66">
        <f t="shared" si="104"/>
        <v>0.69201236484514084</v>
      </c>
      <c r="AI113" s="66">
        <f t="shared" si="104"/>
        <v>0.19893248849257361</v>
      </c>
      <c r="AJ113" s="66">
        <f t="shared" si="104"/>
        <v>-9.0781866165343672E-3</v>
      </c>
      <c r="AK113" s="66">
        <f t="shared" si="104"/>
        <v>0.46580833605548833</v>
      </c>
      <c r="AL113" s="66">
        <f t="shared" si="104"/>
        <v>-1.5869059745455161E-2</v>
      </c>
      <c r="AM113" s="66">
        <f t="shared" si="104"/>
        <v>-0.26606742298463359</v>
      </c>
    </row>
    <row r="114" spans="16:39" x14ac:dyDescent="0.2">
      <c r="P114" s="60">
        <f t="shared" si="82"/>
        <v>1987</v>
      </c>
      <c r="Q114" s="66">
        <f t="shared" ref="Q114:AM114" si="105">+Q28-Q71</f>
        <v>0</v>
      </c>
      <c r="R114" s="66">
        <f t="shared" si="105"/>
        <v>0</v>
      </c>
      <c r="S114" s="66">
        <f t="shared" si="105"/>
        <v>0</v>
      </c>
      <c r="T114" s="66">
        <f t="shared" si="105"/>
        <v>0</v>
      </c>
      <c r="U114" s="66">
        <f t="shared" si="105"/>
        <v>0</v>
      </c>
      <c r="V114" s="66">
        <f t="shared" si="105"/>
        <v>0</v>
      </c>
      <c r="W114" s="66">
        <f t="shared" si="105"/>
        <v>0</v>
      </c>
      <c r="X114" s="66">
        <f t="shared" si="105"/>
        <v>0</v>
      </c>
      <c r="Y114" s="66">
        <f t="shared" si="105"/>
        <v>0</v>
      </c>
      <c r="Z114" s="66">
        <f t="shared" si="105"/>
        <v>-0.22999999999956344</v>
      </c>
      <c r="AA114" s="66">
        <f t="shared" si="105"/>
        <v>0.14847500000178115</v>
      </c>
      <c r="AB114" s="66">
        <f t="shared" si="105"/>
        <v>0.45357331250124844</v>
      </c>
      <c r="AC114" s="66">
        <f t="shared" si="105"/>
        <v>0.15924297890887829</v>
      </c>
      <c r="AD114" s="66">
        <f t="shared" si="105"/>
        <v>-0.20916459130239673</v>
      </c>
      <c r="AE114" s="66">
        <f t="shared" si="105"/>
        <v>0.26874376278283307</v>
      </c>
      <c r="AF114" s="66">
        <f t="shared" si="105"/>
        <v>-0.11856879958941136</v>
      </c>
      <c r="AG114" s="66">
        <f t="shared" si="105"/>
        <v>0.33024551241396694</v>
      </c>
      <c r="AH114" s="66">
        <f t="shared" si="105"/>
        <v>-0.11645203246735036</v>
      </c>
      <c r="AI114" s="66">
        <f t="shared" si="105"/>
        <v>0.23238344720448367</v>
      </c>
      <c r="AJ114" s="66">
        <f t="shared" si="105"/>
        <v>-1.3752927183231805</v>
      </c>
      <c r="AK114" s="66">
        <f t="shared" si="105"/>
        <v>0.80751612270250916</v>
      </c>
      <c r="AL114" s="66">
        <f t="shared" si="105"/>
        <v>0.24261007423046976</v>
      </c>
      <c r="AM114" s="66">
        <f t="shared" si="105"/>
        <v>0.13314270015689544</v>
      </c>
    </row>
    <row r="115" spans="16:39" x14ac:dyDescent="0.2">
      <c r="P115" s="60">
        <f t="shared" si="82"/>
        <v>1988</v>
      </c>
      <c r="Q115" s="66">
        <f t="shared" ref="Q115:AM115" si="106">+Q29-Q72</f>
        <v>0</v>
      </c>
      <c r="R115" s="66">
        <f t="shared" si="106"/>
        <v>0</v>
      </c>
      <c r="S115" s="66">
        <f t="shared" si="106"/>
        <v>0</v>
      </c>
      <c r="T115" s="66">
        <f t="shared" si="106"/>
        <v>0</v>
      </c>
      <c r="U115" s="66">
        <f t="shared" si="106"/>
        <v>0</v>
      </c>
      <c r="V115" s="66">
        <f t="shared" si="106"/>
        <v>0</v>
      </c>
      <c r="W115" s="66">
        <f t="shared" si="106"/>
        <v>0</v>
      </c>
      <c r="X115" s="66">
        <f t="shared" si="106"/>
        <v>0</v>
      </c>
      <c r="Y115" s="66">
        <f t="shared" si="106"/>
        <v>0</v>
      </c>
      <c r="Z115" s="66">
        <f t="shared" si="106"/>
        <v>0</v>
      </c>
      <c r="AA115" s="66">
        <f t="shared" si="106"/>
        <v>6.7500000001018634E-2</v>
      </c>
      <c r="AB115" s="66">
        <f t="shared" si="106"/>
        <v>0.13868125000226428</v>
      </c>
      <c r="AC115" s="66">
        <f t="shared" si="106"/>
        <v>-0.38458523437293479</v>
      </c>
      <c r="AD115" s="66">
        <f t="shared" si="106"/>
        <v>0.34156891328166239</v>
      </c>
      <c r="AE115" s="66">
        <f t="shared" si="106"/>
        <v>-0.37501539758522995</v>
      </c>
      <c r="AF115" s="66">
        <f t="shared" si="106"/>
        <v>-0.23876555156311952</v>
      </c>
      <c r="AG115" s="66">
        <f t="shared" si="106"/>
        <v>0.45884679292066721</v>
      </c>
      <c r="AH115" s="66">
        <f t="shared" si="106"/>
        <v>-6.5647391529637389E-3</v>
      </c>
      <c r="AI115" s="66">
        <f t="shared" si="106"/>
        <v>6.3369613460963592E-2</v>
      </c>
      <c r="AJ115" s="66">
        <f t="shared" si="106"/>
        <v>-7.5996690400643274E-2</v>
      </c>
      <c r="AK115" s="66">
        <f t="shared" si="106"/>
        <v>0.38555335096316412</v>
      </c>
      <c r="AL115" s="66">
        <f t="shared" si="106"/>
        <v>0.29037276784947608</v>
      </c>
      <c r="AM115" s="66">
        <f t="shared" si="106"/>
        <v>-0.14349757255695295</v>
      </c>
    </row>
    <row r="116" spans="16:39" x14ac:dyDescent="0.2">
      <c r="P116" s="60">
        <f t="shared" si="82"/>
        <v>1989</v>
      </c>
      <c r="Q116" s="66">
        <f t="shared" ref="Q116:AM116" si="107">+Q30-Q73</f>
        <v>0</v>
      </c>
      <c r="R116" s="66">
        <f t="shared" si="107"/>
        <v>0</v>
      </c>
      <c r="S116" s="66">
        <f t="shared" si="107"/>
        <v>0</v>
      </c>
      <c r="T116" s="66">
        <f t="shared" si="107"/>
        <v>0</v>
      </c>
      <c r="U116" s="66">
        <f t="shared" si="107"/>
        <v>0</v>
      </c>
      <c r="V116" s="66">
        <f t="shared" si="107"/>
        <v>0</v>
      </c>
      <c r="W116" s="66">
        <f t="shared" si="107"/>
        <v>0</v>
      </c>
      <c r="X116" s="66">
        <f t="shared" si="107"/>
        <v>0</v>
      </c>
      <c r="Y116" s="66">
        <f t="shared" si="107"/>
        <v>0</v>
      </c>
      <c r="Z116" s="66">
        <f t="shared" si="107"/>
        <v>0</v>
      </c>
      <c r="AA116" s="66">
        <f t="shared" si="107"/>
        <v>0</v>
      </c>
      <c r="AB116" s="66">
        <f t="shared" si="107"/>
        <v>6.7500000001018634E-2</v>
      </c>
      <c r="AC116" s="66">
        <f t="shared" si="107"/>
        <v>-0.24415624999892316</v>
      </c>
      <c r="AD116" s="66">
        <f t="shared" si="107"/>
        <v>0.12340218749886844</v>
      </c>
      <c r="AE116" s="66">
        <f t="shared" si="107"/>
        <v>-0.24536379062919877</v>
      </c>
      <c r="AF116" s="66">
        <f t="shared" si="107"/>
        <v>-4.7817428538110107E-2</v>
      </c>
      <c r="AG116" s="66">
        <f t="shared" si="107"/>
        <v>0.4317043971750536</v>
      </c>
      <c r="AH116" s="66">
        <f t="shared" si="107"/>
        <v>0.47602144115080591</v>
      </c>
      <c r="AI116" s="66">
        <f t="shared" si="107"/>
        <v>0.79078165555984015</v>
      </c>
      <c r="AJ116" s="66">
        <f t="shared" si="107"/>
        <v>0.63868947212176863</v>
      </c>
      <c r="AK116" s="66">
        <f t="shared" si="107"/>
        <v>0.77167309052310884</v>
      </c>
      <c r="AL116" s="66">
        <f t="shared" si="107"/>
        <v>-0.46868099585117307</v>
      </c>
      <c r="AM116" s="66">
        <f t="shared" si="107"/>
        <v>0.15046049169905018</v>
      </c>
    </row>
    <row r="117" spans="16:39" x14ac:dyDescent="0.2">
      <c r="P117" s="60">
        <f t="shared" si="82"/>
        <v>1990</v>
      </c>
      <c r="Q117" s="66">
        <f t="shared" ref="Q117:AM117" si="108">+Q31-Q74</f>
        <v>0</v>
      </c>
      <c r="R117" s="66">
        <f t="shared" si="108"/>
        <v>0</v>
      </c>
      <c r="S117" s="66">
        <f t="shared" si="108"/>
        <v>0</v>
      </c>
      <c r="T117" s="66">
        <f t="shared" si="108"/>
        <v>0</v>
      </c>
      <c r="U117" s="66">
        <f t="shared" si="108"/>
        <v>0</v>
      </c>
      <c r="V117" s="66">
        <f t="shared" si="108"/>
        <v>0</v>
      </c>
      <c r="W117" s="66">
        <f t="shared" si="108"/>
        <v>0</v>
      </c>
      <c r="X117" s="66">
        <f t="shared" si="108"/>
        <v>0</v>
      </c>
      <c r="Y117" s="66">
        <f t="shared" si="108"/>
        <v>0</v>
      </c>
      <c r="Z117" s="66">
        <f t="shared" si="108"/>
        <v>0</v>
      </c>
      <c r="AA117" s="66">
        <f t="shared" si="108"/>
        <v>0</v>
      </c>
      <c r="AB117" s="66">
        <f t="shared" si="108"/>
        <v>0</v>
      </c>
      <c r="AC117" s="66">
        <f t="shared" si="108"/>
        <v>0.3999999999996362</v>
      </c>
      <c r="AD117" s="66">
        <f t="shared" si="108"/>
        <v>0.19399999999950523</v>
      </c>
      <c r="AE117" s="66">
        <f t="shared" si="108"/>
        <v>-5.4060000002209563E-2</v>
      </c>
      <c r="AF117" s="66">
        <f t="shared" si="108"/>
        <v>-3.460060000361409E-2</v>
      </c>
      <c r="AG117" s="66">
        <f t="shared" si="108"/>
        <v>-2.4946606004959904E-2</v>
      </c>
      <c r="AH117" s="66">
        <f t="shared" si="108"/>
        <v>0.26480392793746432</v>
      </c>
      <c r="AI117" s="66">
        <f t="shared" si="108"/>
        <v>0.54745196721341927</v>
      </c>
      <c r="AJ117" s="66">
        <f t="shared" si="108"/>
        <v>9.2926486882788595E-2</v>
      </c>
      <c r="AK117" s="66">
        <f t="shared" si="108"/>
        <v>0.26908806797291618</v>
      </c>
      <c r="AL117" s="66">
        <f t="shared" si="108"/>
        <v>0.23495166882639751</v>
      </c>
      <c r="AM117" s="66">
        <f t="shared" si="108"/>
        <v>0.23788856469036546</v>
      </c>
    </row>
    <row r="118" spans="16:39" x14ac:dyDescent="0.2">
      <c r="P118" s="60">
        <f t="shared" si="82"/>
        <v>1991</v>
      </c>
      <c r="Q118" s="66">
        <f t="shared" ref="Q118:AM118" si="109">+Q32-Q75</f>
        <v>0</v>
      </c>
      <c r="R118" s="66">
        <f t="shared" si="109"/>
        <v>0</v>
      </c>
      <c r="S118" s="66">
        <f t="shared" si="109"/>
        <v>0</v>
      </c>
      <c r="T118" s="66">
        <f t="shared" si="109"/>
        <v>0</v>
      </c>
      <c r="U118" s="66">
        <f t="shared" si="109"/>
        <v>0</v>
      </c>
      <c r="V118" s="66">
        <f t="shared" si="109"/>
        <v>0</v>
      </c>
      <c r="W118" s="66">
        <f t="shared" si="109"/>
        <v>0</v>
      </c>
      <c r="X118" s="66">
        <f t="shared" si="109"/>
        <v>0</v>
      </c>
      <c r="Y118" s="66">
        <f t="shared" si="109"/>
        <v>0</v>
      </c>
      <c r="Z118" s="66">
        <f t="shared" si="109"/>
        <v>0</v>
      </c>
      <c r="AA118" s="66">
        <f t="shared" si="109"/>
        <v>0</v>
      </c>
      <c r="AB118" s="66">
        <f t="shared" si="109"/>
        <v>0</v>
      </c>
      <c r="AC118" s="66">
        <f t="shared" si="109"/>
        <v>0</v>
      </c>
      <c r="AD118" s="66">
        <f t="shared" si="109"/>
        <v>0.31999999999970896</v>
      </c>
      <c r="AE118" s="66">
        <f t="shared" si="109"/>
        <v>0.28319999999803258</v>
      </c>
      <c r="AF118" s="66">
        <f t="shared" si="109"/>
        <v>0.20603199999823119</v>
      </c>
      <c r="AG118" s="66">
        <f t="shared" si="109"/>
        <v>-0.18190768000204116</v>
      </c>
      <c r="AH118" s="66">
        <f t="shared" si="109"/>
        <v>0.41627324320143089</v>
      </c>
      <c r="AI118" s="66">
        <f t="shared" si="109"/>
        <v>0.72043597563606454</v>
      </c>
      <c r="AJ118" s="66">
        <f t="shared" si="109"/>
        <v>7.6403353887144476E-3</v>
      </c>
      <c r="AK118" s="66">
        <f t="shared" si="109"/>
        <v>2.0235839583619963E-2</v>
      </c>
      <c r="AL118" s="66">
        <f t="shared" si="109"/>
        <v>-2.9511212414945476E-2</v>
      </c>
      <c r="AM118" s="66">
        <f t="shared" si="109"/>
        <v>0.1201198974304134</v>
      </c>
    </row>
    <row r="119" spans="16:39" x14ac:dyDescent="0.2">
      <c r="P119" s="60">
        <f t="shared" si="82"/>
        <v>1992</v>
      </c>
      <c r="Q119" s="66">
        <f t="shared" ref="Q119:AM119" si="110">+Q33-Q76</f>
        <v>0</v>
      </c>
      <c r="R119" s="66">
        <f t="shared" si="110"/>
        <v>0</v>
      </c>
      <c r="S119" s="66">
        <f t="shared" si="110"/>
        <v>0</v>
      </c>
      <c r="T119" s="66">
        <f t="shared" si="110"/>
        <v>0</v>
      </c>
      <c r="U119" s="66">
        <f t="shared" si="110"/>
        <v>0</v>
      </c>
      <c r="V119" s="66">
        <f t="shared" si="110"/>
        <v>0</v>
      </c>
      <c r="W119" s="66">
        <f t="shared" si="110"/>
        <v>0</v>
      </c>
      <c r="X119" s="66">
        <f t="shared" si="110"/>
        <v>0</v>
      </c>
      <c r="Y119" s="66">
        <f t="shared" si="110"/>
        <v>0</v>
      </c>
      <c r="Z119" s="66">
        <f t="shared" si="110"/>
        <v>0</v>
      </c>
      <c r="AA119" s="66">
        <f t="shared" si="110"/>
        <v>0</v>
      </c>
      <c r="AB119" s="66">
        <f t="shared" si="110"/>
        <v>0</v>
      </c>
      <c r="AC119" s="66">
        <f t="shared" si="110"/>
        <v>0</v>
      </c>
      <c r="AD119" s="66">
        <f t="shared" si="110"/>
        <v>0</v>
      </c>
      <c r="AE119" s="66">
        <f t="shared" si="110"/>
        <v>0.31999999999970896</v>
      </c>
      <c r="AF119" s="66">
        <f t="shared" si="110"/>
        <v>0.28319999999803258</v>
      </c>
      <c r="AG119" s="66">
        <f t="shared" si="110"/>
        <v>-0.37396799999987707</v>
      </c>
      <c r="AH119" s="66">
        <f t="shared" si="110"/>
        <v>0.65229232000274351</v>
      </c>
      <c r="AI119" s="66">
        <f t="shared" si="110"/>
        <v>8.881524320167955E-2</v>
      </c>
      <c r="AJ119" s="66">
        <f t="shared" si="110"/>
        <v>0.21970339563267771</v>
      </c>
      <c r="AK119" s="66">
        <f t="shared" si="110"/>
        <v>-6.5050311925006099E-2</v>
      </c>
      <c r="AL119" s="66">
        <f t="shared" si="110"/>
        <v>-0.27836344082606956</v>
      </c>
      <c r="AM119" s="66">
        <f t="shared" si="110"/>
        <v>-0.14434298384003341</v>
      </c>
    </row>
    <row r="120" spans="16:39" x14ac:dyDescent="0.2">
      <c r="P120" s="60">
        <f t="shared" si="82"/>
        <v>1993</v>
      </c>
      <c r="Q120" s="66">
        <f t="shared" ref="Q120:AM120" si="111">+Q34-Q77</f>
        <v>0</v>
      </c>
      <c r="R120" s="66">
        <f t="shared" si="111"/>
        <v>0</v>
      </c>
      <c r="S120" s="66">
        <f t="shared" si="111"/>
        <v>0</v>
      </c>
      <c r="T120" s="66">
        <f t="shared" si="111"/>
        <v>0</v>
      </c>
      <c r="U120" s="66">
        <f t="shared" si="111"/>
        <v>0</v>
      </c>
      <c r="V120" s="66">
        <f t="shared" si="111"/>
        <v>0</v>
      </c>
      <c r="W120" s="66">
        <f t="shared" si="111"/>
        <v>0</v>
      </c>
      <c r="X120" s="66">
        <f t="shared" si="111"/>
        <v>0</v>
      </c>
      <c r="Y120" s="66">
        <f t="shared" si="111"/>
        <v>0</v>
      </c>
      <c r="Z120" s="66">
        <f t="shared" si="111"/>
        <v>0</v>
      </c>
      <c r="AA120" s="66">
        <f t="shared" si="111"/>
        <v>0</v>
      </c>
      <c r="AB120" s="66">
        <f t="shared" si="111"/>
        <v>0</v>
      </c>
      <c r="AC120" s="66">
        <f t="shared" si="111"/>
        <v>0</v>
      </c>
      <c r="AD120" s="66">
        <f t="shared" si="111"/>
        <v>0</v>
      </c>
      <c r="AE120" s="66">
        <f t="shared" si="111"/>
        <v>0</v>
      </c>
      <c r="AF120" s="66">
        <f t="shared" si="111"/>
        <v>0.31999999999970896</v>
      </c>
      <c r="AG120" s="66">
        <f t="shared" si="111"/>
        <v>-0.29680000000007567</v>
      </c>
      <c r="AH120" s="66">
        <f t="shared" si="111"/>
        <v>0.46023199999763165</v>
      </c>
      <c r="AI120" s="66">
        <f t="shared" si="111"/>
        <v>0.32483431999571621</v>
      </c>
      <c r="AJ120" s="66">
        <f t="shared" si="111"/>
        <v>0.58808266319829272</v>
      </c>
      <c r="AK120" s="66">
        <f t="shared" si="111"/>
        <v>0.10793369649036322</v>
      </c>
      <c r="AL120" s="66">
        <f t="shared" si="111"/>
        <v>-0.17821713230659952</v>
      </c>
      <c r="AM120" s="66">
        <f t="shared" si="111"/>
        <v>1.9555153543478809E-2</v>
      </c>
    </row>
    <row r="121" spans="16:39" x14ac:dyDescent="0.2">
      <c r="P121" s="60">
        <f t="shared" si="82"/>
        <v>1994</v>
      </c>
      <c r="Q121" s="66">
        <f t="shared" ref="Q121:AM121" si="112">+Q35-Q78</f>
        <v>0</v>
      </c>
      <c r="R121" s="66">
        <f t="shared" si="112"/>
        <v>0</v>
      </c>
      <c r="S121" s="66">
        <f t="shared" si="112"/>
        <v>0</v>
      </c>
      <c r="T121" s="66">
        <f t="shared" si="112"/>
        <v>0</v>
      </c>
      <c r="U121" s="66">
        <f t="shared" si="112"/>
        <v>0</v>
      </c>
      <c r="V121" s="66">
        <f t="shared" si="112"/>
        <v>0</v>
      </c>
      <c r="W121" s="66">
        <f t="shared" si="112"/>
        <v>0</v>
      </c>
      <c r="X121" s="66">
        <f t="shared" si="112"/>
        <v>0</v>
      </c>
      <c r="Y121" s="66">
        <f t="shared" si="112"/>
        <v>0</v>
      </c>
      <c r="Z121" s="66">
        <f t="shared" si="112"/>
        <v>0</v>
      </c>
      <c r="AA121" s="66">
        <f t="shared" si="112"/>
        <v>0</v>
      </c>
      <c r="AB121" s="66">
        <f t="shared" si="112"/>
        <v>0</v>
      </c>
      <c r="AC121" s="66">
        <f t="shared" si="112"/>
        <v>0</v>
      </c>
      <c r="AD121" s="66">
        <f t="shared" si="112"/>
        <v>0</v>
      </c>
      <c r="AE121" s="66">
        <f t="shared" si="112"/>
        <v>0</v>
      </c>
      <c r="AF121" s="66">
        <f t="shared" si="112"/>
        <v>0</v>
      </c>
      <c r="AG121" s="66">
        <f t="shared" si="112"/>
        <v>-0.26000000000021828</v>
      </c>
      <c r="AH121" s="66">
        <f t="shared" si="112"/>
        <v>0.53740000000107102</v>
      </c>
      <c r="AI121" s="66">
        <f t="shared" si="112"/>
        <v>0.13277400000151829</v>
      </c>
      <c r="AJ121" s="66">
        <f t="shared" si="112"/>
        <v>0.82410173999960534</v>
      </c>
      <c r="AK121" s="66">
        <f t="shared" si="112"/>
        <v>0.25940301174705382</v>
      </c>
      <c r="AL121" s="66">
        <f t="shared" si="112"/>
        <v>1.4554939116351306E-4</v>
      </c>
      <c r="AM121" s="66">
        <f t="shared" si="112"/>
        <v>0.35014736875746166</v>
      </c>
    </row>
    <row r="122" spans="16:39" x14ac:dyDescent="0.2">
      <c r="P122" s="60">
        <f t="shared" si="82"/>
        <v>1995</v>
      </c>
      <c r="Q122" s="66">
        <f t="shared" ref="Q122:AM122" si="113">+Q36-Q79</f>
        <v>0</v>
      </c>
      <c r="R122" s="66">
        <f t="shared" si="113"/>
        <v>0</v>
      </c>
      <c r="S122" s="66">
        <f t="shared" si="113"/>
        <v>0</v>
      </c>
      <c r="T122" s="66">
        <f t="shared" si="113"/>
        <v>0</v>
      </c>
      <c r="U122" s="66">
        <f t="shared" si="113"/>
        <v>0</v>
      </c>
      <c r="V122" s="66">
        <f t="shared" si="113"/>
        <v>0</v>
      </c>
      <c r="W122" s="66">
        <f t="shared" si="113"/>
        <v>0</v>
      </c>
      <c r="X122" s="66">
        <f t="shared" si="113"/>
        <v>0</v>
      </c>
      <c r="Y122" s="66">
        <f t="shared" si="113"/>
        <v>0</v>
      </c>
      <c r="Z122" s="66">
        <f t="shared" si="113"/>
        <v>0</v>
      </c>
      <c r="AA122" s="66">
        <f t="shared" si="113"/>
        <v>0</v>
      </c>
      <c r="AB122" s="66">
        <f t="shared" si="113"/>
        <v>0</v>
      </c>
      <c r="AC122" s="66">
        <f t="shared" si="113"/>
        <v>0</v>
      </c>
      <c r="AD122" s="66">
        <f t="shared" si="113"/>
        <v>0</v>
      </c>
      <c r="AE122" s="66">
        <f t="shared" si="113"/>
        <v>0</v>
      </c>
      <c r="AF122" s="66">
        <f t="shared" si="113"/>
        <v>0</v>
      </c>
      <c r="AG122" s="66">
        <f t="shared" si="113"/>
        <v>0</v>
      </c>
      <c r="AH122" s="66">
        <f t="shared" si="113"/>
        <v>-0.26000000000021828</v>
      </c>
      <c r="AI122" s="66">
        <f t="shared" si="113"/>
        <v>-3.2599999998637941E-2</v>
      </c>
      <c r="AJ122" s="66">
        <f t="shared" si="113"/>
        <v>-1.2925999999424675E-2</v>
      </c>
      <c r="AK122" s="66">
        <f t="shared" si="113"/>
        <v>0.21191242500208318</v>
      </c>
      <c r="AL122" s="66">
        <f t="shared" si="113"/>
        <v>-0.14793866968830116</v>
      </c>
      <c r="AM122" s="66">
        <f t="shared" si="113"/>
        <v>0.22521209694241406</v>
      </c>
    </row>
    <row r="123" spans="16:39" x14ac:dyDescent="0.2">
      <c r="P123" s="60">
        <f t="shared" si="82"/>
        <v>1996</v>
      </c>
      <c r="Q123" s="66">
        <f t="shared" ref="Q123:AM123" si="114">+Q37-Q80</f>
        <v>0</v>
      </c>
      <c r="R123" s="66">
        <f t="shared" si="114"/>
        <v>0</v>
      </c>
      <c r="S123" s="66">
        <f t="shared" si="114"/>
        <v>0</v>
      </c>
      <c r="T123" s="66">
        <f t="shared" si="114"/>
        <v>0</v>
      </c>
      <c r="U123" s="66">
        <f t="shared" si="114"/>
        <v>0</v>
      </c>
      <c r="V123" s="66">
        <f t="shared" si="114"/>
        <v>0</v>
      </c>
      <c r="W123" s="66">
        <f t="shared" si="114"/>
        <v>0</v>
      </c>
      <c r="X123" s="66">
        <f t="shared" si="114"/>
        <v>0</v>
      </c>
      <c r="Y123" s="66">
        <f t="shared" si="114"/>
        <v>0</v>
      </c>
      <c r="Z123" s="66">
        <f t="shared" si="114"/>
        <v>0</v>
      </c>
      <c r="AA123" s="66">
        <f t="shared" si="114"/>
        <v>0</v>
      </c>
      <c r="AB123" s="66">
        <f t="shared" si="114"/>
        <v>0</v>
      </c>
      <c r="AC123" s="66">
        <f t="shared" si="114"/>
        <v>0</v>
      </c>
      <c r="AD123" s="66">
        <f t="shared" si="114"/>
        <v>0</v>
      </c>
      <c r="AE123" s="66">
        <f t="shared" si="114"/>
        <v>0</v>
      </c>
      <c r="AF123" s="66">
        <f t="shared" si="114"/>
        <v>0</v>
      </c>
      <c r="AG123" s="66">
        <f t="shared" si="114"/>
        <v>0</v>
      </c>
      <c r="AH123" s="66">
        <f t="shared" si="114"/>
        <v>0</v>
      </c>
      <c r="AI123" s="66">
        <f t="shared" si="114"/>
        <v>0</v>
      </c>
      <c r="AJ123" s="66">
        <f t="shared" si="114"/>
        <v>1</v>
      </c>
      <c r="AK123" s="66">
        <f t="shared" si="114"/>
        <v>0</v>
      </c>
      <c r="AL123" s="66">
        <f t="shared" si="114"/>
        <v>0</v>
      </c>
      <c r="AM123" s="66">
        <f t="shared" si="114"/>
        <v>0</v>
      </c>
    </row>
    <row r="124" spans="16:39" x14ac:dyDescent="0.2">
      <c r="P124" s="60">
        <f t="shared" si="82"/>
        <v>1997</v>
      </c>
      <c r="Q124" s="66">
        <f t="shared" ref="Q124:AM124" si="115">+Q38-Q81</f>
        <v>0</v>
      </c>
      <c r="R124" s="66">
        <f t="shared" si="115"/>
        <v>0</v>
      </c>
      <c r="S124" s="66">
        <f t="shared" si="115"/>
        <v>0</v>
      </c>
      <c r="T124" s="66">
        <f t="shared" si="115"/>
        <v>0</v>
      </c>
      <c r="U124" s="66">
        <f t="shared" si="115"/>
        <v>0</v>
      </c>
      <c r="V124" s="66">
        <f t="shared" si="115"/>
        <v>0</v>
      </c>
      <c r="W124" s="66">
        <f t="shared" si="115"/>
        <v>0</v>
      </c>
      <c r="X124" s="66">
        <f t="shared" si="115"/>
        <v>0</v>
      </c>
      <c r="Y124" s="66">
        <f t="shared" si="115"/>
        <v>0</v>
      </c>
      <c r="Z124" s="66">
        <f t="shared" si="115"/>
        <v>0</v>
      </c>
      <c r="AA124" s="66">
        <f t="shared" si="115"/>
        <v>0</v>
      </c>
      <c r="AB124" s="66">
        <f t="shared" si="115"/>
        <v>0</v>
      </c>
      <c r="AC124" s="66">
        <f t="shared" si="115"/>
        <v>0</v>
      </c>
      <c r="AD124" s="66">
        <f t="shared" si="115"/>
        <v>0</v>
      </c>
      <c r="AE124" s="66">
        <f t="shared" si="115"/>
        <v>0</v>
      </c>
      <c r="AF124" s="66">
        <f t="shared" si="115"/>
        <v>0</v>
      </c>
      <c r="AG124" s="66">
        <f t="shared" si="115"/>
        <v>0</v>
      </c>
      <c r="AH124" s="66">
        <f t="shared" si="115"/>
        <v>0</v>
      </c>
      <c r="AI124" s="66">
        <f t="shared" si="115"/>
        <v>0</v>
      </c>
      <c r="AJ124" s="66">
        <f t="shared" si="115"/>
        <v>0</v>
      </c>
      <c r="AK124" s="66">
        <f t="shared" si="115"/>
        <v>0</v>
      </c>
      <c r="AL124" s="66">
        <f t="shared" si="115"/>
        <v>0</v>
      </c>
      <c r="AM124" s="66">
        <f t="shared" si="115"/>
        <v>0</v>
      </c>
    </row>
    <row r="125" spans="16:39" x14ac:dyDescent="0.2">
      <c r="P125" s="60">
        <f t="shared" si="82"/>
        <v>1998</v>
      </c>
      <c r="Q125" s="66">
        <f t="shared" ref="Q125:AM125" si="116">+Q39-Q82</f>
        <v>0</v>
      </c>
      <c r="R125" s="66">
        <f t="shared" si="116"/>
        <v>0</v>
      </c>
      <c r="S125" s="66">
        <f t="shared" si="116"/>
        <v>0</v>
      </c>
      <c r="T125" s="66">
        <f t="shared" si="116"/>
        <v>0</v>
      </c>
      <c r="U125" s="66">
        <f t="shared" si="116"/>
        <v>0</v>
      </c>
      <c r="V125" s="66">
        <f t="shared" si="116"/>
        <v>0</v>
      </c>
      <c r="W125" s="66">
        <f t="shared" si="116"/>
        <v>0</v>
      </c>
      <c r="X125" s="66">
        <f t="shared" si="116"/>
        <v>0</v>
      </c>
      <c r="Y125" s="66">
        <f t="shared" si="116"/>
        <v>0</v>
      </c>
      <c r="Z125" s="66">
        <f t="shared" si="116"/>
        <v>0</v>
      </c>
      <c r="AA125" s="66">
        <f t="shared" si="116"/>
        <v>0</v>
      </c>
      <c r="AB125" s="66">
        <f t="shared" si="116"/>
        <v>0</v>
      </c>
      <c r="AC125" s="66">
        <f t="shared" si="116"/>
        <v>0</v>
      </c>
      <c r="AD125" s="66">
        <f t="shared" si="116"/>
        <v>0</v>
      </c>
      <c r="AE125" s="66">
        <f t="shared" si="116"/>
        <v>0</v>
      </c>
      <c r="AF125" s="66">
        <f t="shared" si="116"/>
        <v>0</v>
      </c>
      <c r="AG125" s="66">
        <f t="shared" si="116"/>
        <v>0</v>
      </c>
      <c r="AH125" s="66">
        <f t="shared" si="116"/>
        <v>0</v>
      </c>
      <c r="AI125" s="66">
        <f t="shared" si="116"/>
        <v>0</v>
      </c>
      <c r="AJ125" s="66">
        <f t="shared" si="116"/>
        <v>0</v>
      </c>
      <c r="AK125" s="66">
        <f t="shared" si="116"/>
        <v>0</v>
      </c>
      <c r="AL125" s="66">
        <f t="shared" si="116"/>
        <v>-1</v>
      </c>
      <c r="AM125" s="66">
        <f t="shared" si="116"/>
        <v>0</v>
      </c>
    </row>
    <row r="126" spans="16:39" x14ac:dyDescent="0.2">
      <c r="P126" s="60">
        <f t="shared" si="82"/>
        <v>1999</v>
      </c>
      <c r="Q126" s="66">
        <f t="shared" ref="Q126:AM126" si="117">+Q40-Q83</f>
        <v>0</v>
      </c>
      <c r="R126" s="66">
        <f t="shared" si="117"/>
        <v>0</v>
      </c>
      <c r="S126" s="66">
        <f t="shared" si="117"/>
        <v>0</v>
      </c>
      <c r="T126" s="66">
        <f t="shared" si="117"/>
        <v>0</v>
      </c>
      <c r="U126" s="66">
        <f t="shared" si="117"/>
        <v>0</v>
      </c>
      <c r="V126" s="66">
        <f t="shared" si="117"/>
        <v>0</v>
      </c>
      <c r="W126" s="66">
        <f t="shared" si="117"/>
        <v>0</v>
      </c>
      <c r="X126" s="66">
        <f t="shared" si="117"/>
        <v>0</v>
      </c>
      <c r="Y126" s="66">
        <f t="shared" si="117"/>
        <v>0</v>
      </c>
      <c r="Z126" s="66">
        <f t="shared" si="117"/>
        <v>0</v>
      </c>
      <c r="AA126" s="66">
        <f t="shared" si="117"/>
        <v>0</v>
      </c>
      <c r="AB126" s="66">
        <f t="shared" si="117"/>
        <v>0</v>
      </c>
      <c r="AC126" s="66">
        <f t="shared" si="117"/>
        <v>0</v>
      </c>
      <c r="AD126" s="66">
        <f t="shared" si="117"/>
        <v>0</v>
      </c>
      <c r="AE126" s="66">
        <f t="shared" si="117"/>
        <v>0</v>
      </c>
      <c r="AF126" s="66">
        <f t="shared" si="117"/>
        <v>0</v>
      </c>
      <c r="AG126" s="66">
        <f t="shared" si="117"/>
        <v>0</v>
      </c>
      <c r="AH126" s="66">
        <f t="shared" si="117"/>
        <v>0</v>
      </c>
      <c r="AI126" s="66">
        <f t="shared" si="117"/>
        <v>0</v>
      </c>
      <c r="AJ126" s="66">
        <f t="shared" si="117"/>
        <v>0</v>
      </c>
      <c r="AK126" s="66">
        <f t="shared" si="117"/>
        <v>0</v>
      </c>
      <c r="AL126" s="66">
        <f t="shared" si="117"/>
        <v>0</v>
      </c>
      <c r="AM126" s="66">
        <f t="shared" si="117"/>
        <v>0</v>
      </c>
    </row>
    <row r="127" spans="16:39" x14ac:dyDescent="0.2">
      <c r="P127" s="60">
        <f t="shared" si="82"/>
        <v>2000</v>
      </c>
      <c r="Q127" s="66">
        <f t="shared" ref="Q127:AM127" si="118">+Q41-Q84</f>
        <v>0</v>
      </c>
      <c r="R127" s="66">
        <f t="shared" si="118"/>
        <v>0</v>
      </c>
      <c r="S127" s="66">
        <f t="shared" si="118"/>
        <v>0</v>
      </c>
      <c r="T127" s="66">
        <f t="shared" si="118"/>
        <v>0</v>
      </c>
      <c r="U127" s="66">
        <f t="shared" si="118"/>
        <v>0</v>
      </c>
      <c r="V127" s="66">
        <f t="shared" si="118"/>
        <v>0</v>
      </c>
      <c r="W127" s="66">
        <f t="shared" si="118"/>
        <v>0</v>
      </c>
      <c r="X127" s="66">
        <f t="shared" si="118"/>
        <v>0</v>
      </c>
      <c r="Y127" s="66">
        <f t="shared" si="118"/>
        <v>0</v>
      </c>
      <c r="Z127" s="66">
        <f t="shared" si="118"/>
        <v>0</v>
      </c>
      <c r="AA127" s="66">
        <f t="shared" si="118"/>
        <v>0</v>
      </c>
      <c r="AB127" s="66">
        <f t="shared" si="118"/>
        <v>0</v>
      </c>
      <c r="AC127" s="66">
        <f t="shared" si="118"/>
        <v>0</v>
      </c>
      <c r="AD127" s="66">
        <f t="shared" si="118"/>
        <v>0</v>
      </c>
      <c r="AE127" s="66">
        <f t="shared" si="118"/>
        <v>0</v>
      </c>
      <c r="AF127" s="66">
        <f t="shared" si="118"/>
        <v>0</v>
      </c>
      <c r="AG127" s="66">
        <f t="shared" si="118"/>
        <v>0</v>
      </c>
      <c r="AH127" s="66">
        <f t="shared" si="118"/>
        <v>0</v>
      </c>
      <c r="AI127" s="66">
        <f t="shared" si="118"/>
        <v>0</v>
      </c>
      <c r="AJ127" s="66">
        <f t="shared" si="118"/>
        <v>0</v>
      </c>
      <c r="AK127" s="66">
        <f t="shared" si="118"/>
        <v>0</v>
      </c>
      <c r="AL127" s="66">
        <f t="shared" si="118"/>
        <v>0</v>
      </c>
      <c r="AM127" s="66">
        <f t="shared" si="118"/>
        <v>0</v>
      </c>
    </row>
    <row r="128" spans="16:39" x14ac:dyDescent="0.2">
      <c r="P128" s="60">
        <f t="shared" si="82"/>
        <v>2001</v>
      </c>
      <c r="Q128" s="66">
        <f t="shared" ref="Q128:AM128" si="119">+Q42-Q85</f>
        <v>0</v>
      </c>
      <c r="R128" s="66">
        <f t="shared" si="119"/>
        <v>0</v>
      </c>
      <c r="S128" s="66">
        <f t="shared" si="119"/>
        <v>0</v>
      </c>
      <c r="T128" s="66">
        <f t="shared" si="119"/>
        <v>0</v>
      </c>
      <c r="U128" s="66">
        <f t="shared" si="119"/>
        <v>0</v>
      </c>
      <c r="V128" s="66">
        <f t="shared" si="119"/>
        <v>0</v>
      </c>
      <c r="W128" s="66">
        <f t="shared" si="119"/>
        <v>0</v>
      </c>
      <c r="X128" s="66">
        <f t="shared" si="119"/>
        <v>0</v>
      </c>
      <c r="Y128" s="66">
        <f t="shared" si="119"/>
        <v>0</v>
      </c>
      <c r="Z128" s="66">
        <f t="shared" si="119"/>
        <v>0</v>
      </c>
      <c r="AA128" s="66">
        <f t="shared" si="119"/>
        <v>0</v>
      </c>
      <c r="AB128" s="66">
        <f t="shared" si="119"/>
        <v>0</v>
      </c>
      <c r="AC128" s="66">
        <f t="shared" si="119"/>
        <v>0</v>
      </c>
      <c r="AD128" s="66">
        <f t="shared" si="119"/>
        <v>0</v>
      </c>
      <c r="AE128" s="66">
        <f t="shared" si="119"/>
        <v>0</v>
      </c>
      <c r="AF128" s="66">
        <f t="shared" si="119"/>
        <v>0</v>
      </c>
      <c r="AG128" s="66">
        <f t="shared" si="119"/>
        <v>0</v>
      </c>
      <c r="AH128" s="66">
        <f t="shared" si="119"/>
        <v>0</v>
      </c>
      <c r="AI128" s="66">
        <f t="shared" si="119"/>
        <v>0</v>
      </c>
      <c r="AJ128" s="66">
        <f t="shared" si="119"/>
        <v>0</v>
      </c>
      <c r="AK128" s="66">
        <f t="shared" si="119"/>
        <v>0</v>
      </c>
      <c r="AL128" s="66">
        <f t="shared" si="119"/>
        <v>0</v>
      </c>
      <c r="AM128" s="66">
        <f t="shared" si="119"/>
        <v>0</v>
      </c>
    </row>
  </sheetData>
  <mergeCells count="7">
    <mergeCell ref="J1:L1"/>
    <mergeCell ref="P1:AM1"/>
    <mergeCell ref="P44:AM44"/>
    <mergeCell ref="P87:AM87"/>
    <mergeCell ref="D1:E1"/>
    <mergeCell ref="F1:G1"/>
    <mergeCell ref="H1:I1"/>
  </mergeCells>
  <conditionalFormatting sqref="Q89:AM128">
    <cfRule type="cellIs" dxfId="0" priority="1" operator="notBetween">
      <formula>-1.99</formula>
      <formula>1.99</formula>
    </cfRule>
  </conditionalFormatting>
  <pageMargins left="0.78740157499999996" right="0.78740157499999996" top="0.984251969" bottom="0.984251969" header="0.4921259845" footer="0.4921259845"/>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workbookViewId="0">
      <selection activeCell="A41" sqref="A41:H41"/>
    </sheetView>
  </sheetViews>
  <sheetFormatPr baseColWidth="10" defaultRowHeight="12.75" x14ac:dyDescent="0.2"/>
  <sheetData>
    <row r="1" spans="1:1" x14ac:dyDescent="0.2">
      <c r="A1" t="s">
        <v>71</v>
      </c>
    </row>
    <row r="2" spans="1:1" x14ac:dyDescent="0.2">
      <c r="A2" t="s">
        <v>72</v>
      </c>
    </row>
    <row r="3" spans="1:1" x14ac:dyDescent="0.2">
      <c r="A3" t="s">
        <v>75</v>
      </c>
    </row>
    <row r="4" spans="1:1" x14ac:dyDescent="0.2">
      <c r="A4"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C5422FBD02014D9A2052089A8E5B4E" ma:contentTypeVersion="4" ma:contentTypeDescription="Crée un document." ma:contentTypeScope="" ma:versionID="cccd29408e37dd2ec82c9f3320c299be">
  <xsd:schema xmlns:xsd="http://www.w3.org/2001/XMLSchema" xmlns:p="http://schemas.microsoft.com/office/2006/metadata/properties" xmlns:ns2="7e70fe3a-af68-435f-918c-c31d89f1a582" targetNamespace="http://schemas.microsoft.com/office/2006/metadata/properties" ma:root="true" ma:fieldsID="b7e44d0daac84966b5d79a086ab354d1" ns2:_="">
    <xsd:import namespace="7e70fe3a-af68-435f-918c-c31d89f1a582"/>
    <xsd:element name="properties">
      <xsd:complexType>
        <xsd:sequence>
          <xsd:element name="documentManagement">
            <xsd:complexType>
              <xsd:all>
                <xsd:element ref="ns2:Menus_x0020_niveau_x0020_3" minOccurs="0"/>
                <xsd:element ref="ns2:Menu" minOccurs="0"/>
              </xsd:all>
            </xsd:complexType>
          </xsd:element>
        </xsd:sequence>
      </xsd:complexType>
    </xsd:element>
  </xsd:schema>
  <xsd:schema xmlns:xsd="http://www.w3.org/2001/XMLSchema" xmlns:dms="http://schemas.microsoft.com/office/2006/documentManagement/types" targetNamespace="7e70fe3a-af68-435f-918c-c31d89f1a582" elementFormDefault="qualified">
    <xsd:import namespace="http://schemas.microsoft.com/office/2006/documentManagement/types"/>
    <xsd:element name="Menus_x0020_niveau_x0020_3" ma:index="8" nillable="true" ma:displayName="Thèmes" ma:default="Modèles de documents et formulaires" ma:format="Dropdown" ma:internalName="Menus_x0020_niveau_x0020_3">
      <xsd:simpleType>
        <xsd:restriction base="dms:Choice">
          <xsd:enumeration value="Directives"/>
          <xsd:enumeration value="Modèles de documents et formulaires"/>
          <xsd:enumeration value="Professionnels de l'immobilier"/>
          <xsd:enumeration value="Agriculture - Viticulture"/>
          <xsd:enumeration value="Forum OTI - PM"/>
          <xsd:enumeration value="Révisions"/>
        </xsd:restriction>
      </xsd:simpleType>
    </xsd:element>
    <xsd:element name="Menu" ma:index="9" nillable="true" ma:displayName="Menu" ma:default="Consignation" ma:format="Dropdown" ma:internalName="Menu">
      <xsd:simpleType>
        <xsd:restriction base="dms:Choice">
          <xsd:enumeration value="Formulaires"/>
          <xsd:enumeration value="Correspondance utile"/>
          <xsd:enumeration value="Documents utiles - Lettres types"/>
          <xsd:enumeration value="Directives de taxation"/>
          <xsd:enumeration value="Notes internes"/>
          <xsd:enumeration value="2 PV"/>
          <xsd:enumeration value="Consignation"/>
          <xsd:enumeration value="Modèles de documents"/>
          <xsd:enumeration value="Aides de calcul"/>
          <xsd:enumeration value="Professionels de l'immobilier"/>
          <xsd:enumeration value="3 Annexes"/>
          <xsd:enumeration value="1 Tables des matiè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ma:readOnly="tru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Menus_x0020_niveau_x0020_3 xmlns="7e70fe3a-af68-435f-918c-c31d89f1a582">Modèles de documents et formulaires</Menus_x0020_niveau_x0020_3>
    <Menu xmlns="7e70fe3a-af68-435f-918c-c31d89f1a582">Formulaires</Menu>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BBEB9-5550-496C-A758-41B4041EB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70fe3a-af68-435f-918c-c31d89f1a58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35DC7FF-BE82-4AE2-A5AB-523EC6673FAD}">
  <ds:schemaRef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7e70fe3a-af68-435f-918c-c31d89f1a58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F7B7A4E-4DE5-4D18-B53B-5ED23B8C8B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Bénéfice de liquidation</vt:lpstr>
      <vt:lpstr>Rachat fictif</vt:lpstr>
      <vt:lpstr>Communications</vt:lpstr>
      <vt:lpstr>Paramètres</vt:lpstr>
      <vt:lpstr>Modifs annuelles</vt:lpstr>
      <vt:lpstr>'Bénéfice de liquidation'!Zone_d_impression</vt:lpstr>
      <vt:lpstr>Communications!Zone_d_impression</vt:lpstr>
      <vt:lpstr>'Rachat fictif'!Zone_d_impression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Bénéfice de liquidation et rachat fictif</dc:title>
  <dc:creator>Y.-A. Cavin</dc:creator>
  <cp:lastModifiedBy>Gerber Christine</cp:lastModifiedBy>
  <cp:lastPrinted>2025-04-25T09:50:15Z</cp:lastPrinted>
  <dcterms:created xsi:type="dcterms:W3CDTF">2013-06-25T18:50:05Z</dcterms:created>
  <dcterms:modified xsi:type="dcterms:W3CDTF">2026-01-05T14:00:10Z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0x0101009DC5422FBD02014D9A2052089A8E5B4E</vt:lpwstr>
  </property>
</Properties>
</file>